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V:\Projects\shog-marketing\templates\"/>
    </mc:Choice>
  </mc:AlternateContent>
  <xr:revisionPtr revIDLastSave="0" documentId="13_ncr:1_{297C468E-B38B-42D1-901C-BE47F8E466C8}" xr6:coauthVersionLast="47" xr6:coauthVersionMax="47" xr10:uidLastSave="{00000000-0000-0000-0000-000000000000}"/>
  <bookViews>
    <workbookView xWindow="-108" yWindow="-108" windowWidth="23256" windowHeight="13896" xr2:uid="{00000000-000D-0000-FFFF-FFFF00000000}"/>
  </bookViews>
  <sheets>
    <sheet name="Start here" sheetId="1" r:id="rId1"/>
    <sheet name="Inputs" sheetId="2" r:id="rId2"/>
    <sheet name="Summary" sheetId="3" r:id="rId3"/>
    <sheet name="Projections" sheetId="4" r:id="rId4"/>
    <sheet name="Cash Flow" sheetId="5" r:id="rId5"/>
    <sheet name="Break-even" sheetId="6" r:id="rId6"/>
    <sheet name="Sensitivity" sheetId="7" r:id="rId7"/>
  </sheets>
  <definedNames>
    <definedName name="BasicShare">Inputs!$C$35</definedName>
    <definedName name="CostInc">Inputs!$C$20</definedName>
    <definedName name="CreditorDays">Inputs!$C$74</definedName>
    <definedName name="Currency">Inputs!$C$8</definedName>
    <definedName name="DebtorDays">Inputs!$C$72</definedName>
    <definedName name="DiscountRate">Inputs!$C$81</definedName>
    <definedName name="Equity">Inputs!$C$66</definedName>
    <definedName name="ExitValue">Inputs!$C$82</definedName>
    <definedName name="FeesPct">Inputs!$C$21</definedName>
    <definedName name="FirstYear">Inputs!$C$9</definedName>
    <definedName name="GratuityDays">Inputs!$C$36</definedName>
    <definedName name="Loan">Inputs!$C$67</definedName>
    <definedName name="LoanRate">Inputs!$C$68</definedName>
    <definedName name="LoanTerm">Inputs!$C$69</definedName>
    <definedName name="Location">Inputs!$C$7</definedName>
    <definedName name="LossCap">Inputs!$C$80</definedName>
    <definedName name="MedicalPP">Inputs!$C$37</definedName>
    <definedName name="MinCash">Inputs!$C$75</definedName>
    <definedName name="PayRise">Inputs!$C$34</definedName>
    <definedName name="PriceInc">Inputs!$C$19</definedName>
    <definedName name="_xlnm.Print_Area" localSheetId="5">'Break-even'!$A$1:$M$29</definedName>
    <definedName name="_xlnm.Print_Area" localSheetId="4">'Cash Flow'!$A$1:$G$49</definedName>
    <definedName name="_xlnm.Print_Area" localSheetId="1">Inputs!$A$1:$I$85</definedName>
    <definedName name="_xlnm.Print_Area" localSheetId="3">Projections!$A$1:$G$67</definedName>
    <definedName name="_xlnm.Print_Area" localSheetId="6">Sensitivity!$A$1:$J$25</definedName>
    <definedName name="_xlnm.Print_Area" localSheetId="0">'Start here'!$A$1:$F$32</definedName>
    <definedName name="_xlnm.Print_Area" localSheetId="2">Summary!$A$1:$I$48</definedName>
    <definedName name="_xlnm.Print_Titles" localSheetId="4">'Cash Flow'!$4:$4</definedName>
    <definedName name="_xlnm.Print_Titles" localSheetId="3">Projections!$4:$4</definedName>
    <definedName name="ProjectName">Inputs!$C$6</definedName>
    <definedName name="StockDays">Inputs!$C$73</definedName>
    <definedName name="TaxFree">Inputs!$C$79</definedName>
    <definedName name="TaxRate">Inputs!$C$78</definedName>
    <definedName name="VisaPerHire">Inputs!$C$38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7" l="1"/>
  <c r="E4" i="6"/>
  <c r="D4" i="6"/>
  <c r="C4" i="6"/>
  <c r="B4" i="6"/>
  <c r="F48" i="5"/>
  <c r="E48" i="5"/>
  <c r="D48" i="5"/>
  <c r="C48" i="5"/>
  <c r="F44" i="5"/>
  <c r="E44" i="5"/>
  <c r="D44" i="5"/>
  <c r="C44" i="5"/>
  <c r="C36" i="5"/>
  <c r="C17" i="5" s="1"/>
  <c r="C35" i="5"/>
  <c r="C56" i="4" s="1"/>
  <c r="F34" i="5"/>
  <c r="E34" i="5"/>
  <c r="D34" i="5"/>
  <c r="C34" i="5"/>
  <c r="C33" i="5"/>
  <c r="C28" i="5"/>
  <c r="C27" i="5"/>
  <c r="C26" i="5"/>
  <c r="C21" i="5"/>
  <c r="F16" i="5"/>
  <c r="E16" i="5"/>
  <c r="D16" i="5"/>
  <c r="C16" i="5"/>
  <c r="F15" i="5"/>
  <c r="E15" i="5"/>
  <c r="D15" i="5"/>
  <c r="C15" i="5"/>
  <c r="F12" i="5"/>
  <c r="F43" i="5" s="1"/>
  <c r="E12" i="5"/>
  <c r="E43" i="5" s="1"/>
  <c r="D12" i="5"/>
  <c r="D43" i="5" s="1"/>
  <c r="C12" i="5"/>
  <c r="C43" i="5" s="1"/>
  <c r="F4" i="5"/>
  <c r="E4" i="5"/>
  <c r="D4" i="5"/>
  <c r="B4" i="5"/>
  <c r="C60" i="4"/>
  <c r="F54" i="4"/>
  <c r="F7" i="5" s="1"/>
  <c r="E54" i="4"/>
  <c r="E7" i="5" s="1"/>
  <c r="D54" i="4"/>
  <c r="D7" i="5" s="1"/>
  <c r="C54" i="4"/>
  <c r="C7" i="5" s="1"/>
  <c r="F50" i="4"/>
  <c r="E50" i="4"/>
  <c r="D50" i="4"/>
  <c r="C50" i="4"/>
  <c r="C51" i="4" s="1"/>
  <c r="F49" i="4"/>
  <c r="E49" i="4"/>
  <c r="D49" i="4"/>
  <c r="B49" i="4"/>
  <c r="F48" i="4"/>
  <c r="E48" i="4"/>
  <c r="D48" i="4"/>
  <c r="B48" i="4"/>
  <c r="F47" i="4"/>
  <c r="E47" i="4"/>
  <c r="D47" i="4"/>
  <c r="B47" i="4"/>
  <c r="F46" i="4"/>
  <c r="E46" i="4"/>
  <c r="D46" i="4"/>
  <c r="B46" i="4"/>
  <c r="F45" i="4"/>
  <c r="E45" i="4"/>
  <c r="D45" i="4"/>
  <c r="B45" i="4"/>
  <c r="F44" i="4"/>
  <c r="E44" i="4"/>
  <c r="D44" i="4"/>
  <c r="B44" i="4"/>
  <c r="F43" i="4"/>
  <c r="E43" i="4"/>
  <c r="D43" i="4"/>
  <c r="B43" i="4"/>
  <c r="F42" i="4"/>
  <c r="E42" i="4"/>
  <c r="D42" i="4"/>
  <c r="B42" i="4"/>
  <c r="F41" i="4"/>
  <c r="E41" i="4"/>
  <c r="D41" i="4"/>
  <c r="B41" i="4"/>
  <c r="F40" i="4"/>
  <c r="E40" i="4"/>
  <c r="D40" i="4"/>
  <c r="B40" i="4"/>
  <c r="C37" i="4"/>
  <c r="F36" i="4"/>
  <c r="E36" i="4"/>
  <c r="D36" i="4"/>
  <c r="F35" i="4"/>
  <c r="F33" i="4"/>
  <c r="E33" i="4"/>
  <c r="D33" i="4"/>
  <c r="F32" i="4"/>
  <c r="E32" i="4"/>
  <c r="E35" i="4" s="1"/>
  <c r="D32" i="4"/>
  <c r="D35" i="4" s="1"/>
  <c r="C27" i="4"/>
  <c r="C28" i="4" s="1"/>
  <c r="F25" i="4"/>
  <c r="E25" i="4"/>
  <c r="D25" i="4"/>
  <c r="B25" i="4"/>
  <c r="B24" i="4"/>
  <c r="B23" i="4"/>
  <c r="B22" i="4"/>
  <c r="B21" i="4"/>
  <c r="C18" i="4"/>
  <c r="C29" i="4" s="1"/>
  <c r="F17" i="3" s="1"/>
  <c r="F17" i="4"/>
  <c r="E17" i="4"/>
  <c r="D17" i="4"/>
  <c r="B17" i="4"/>
  <c r="B16" i="4"/>
  <c r="B15" i="4"/>
  <c r="B14" i="4"/>
  <c r="B13" i="4"/>
  <c r="F10" i="4"/>
  <c r="E10" i="4"/>
  <c r="D10" i="4"/>
  <c r="B10" i="4"/>
  <c r="D9" i="4"/>
  <c r="D16" i="4" s="1"/>
  <c r="B9" i="4"/>
  <c r="D8" i="4"/>
  <c r="E8" i="4" s="1"/>
  <c r="B8" i="4"/>
  <c r="D7" i="4"/>
  <c r="D22" i="4" s="1"/>
  <c r="B7" i="4"/>
  <c r="D6" i="4"/>
  <c r="D13" i="4" s="1"/>
  <c r="B6" i="4"/>
  <c r="F4" i="4"/>
  <c r="E4" i="4"/>
  <c r="D4" i="4"/>
  <c r="B4" i="4"/>
  <c r="C29" i="3"/>
  <c r="C28" i="3"/>
  <c r="C27" i="3"/>
  <c r="C26" i="3"/>
  <c r="B26" i="3"/>
  <c r="I14" i="3"/>
  <c r="H14" i="3"/>
  <c r="G14" i="3"/>
  <c r="F10" i="3"/>
  <c r="L6" i="3"/>
  <c r="H6" i="3"/>
  <c r="F6" i="3"/>
  <c r="D6" i="3"/>
  <c r="B6" i="3"/>
  <c r="O5" i="3"/>
  <c r="N5" i="3"/>
  <c r="M5" i="3"/>
  <c r="D5" i="3"/>
  <c r="B5" i="3"/>
  <c r="A2" i="3"/>
  <c r="A1" i="3"/>
  <c r="B6" i="1"/>
  <c r="D24" i="4" l="1"/>
  <c r="C18" i="5"/>
  <c r="C29" i="5"/>
  <c r="C30" i="5" s="1"/>
  <c r="C53" i="4"/>
  <c r="C55" i="4" s="1"/>
  <c r="C57" i="4" s="1"/>
  <c r="F16" i="3"/>
  <c r="F51" i="4"/>
  <c r="C37" i="5"/>
  <c r="D33" i="5" s="1"/>
  <c r="E51" i="4"/>
  <c r="D34" i="4"/>
  <c r="D37" i="4" s="1"/>
  <c r="E6" i="4"/>
  <c r="D21" i="4"/>
  <c r="E34" i="4"/>
  <c r="E37" i="4" s="1"/>
  <c r="D51" i="4"/>
  <c r="D23" i="4"/>
  <c r="E23" i="4"/>
  <c r="F8" i="4"/>
  <c r="E15" i="4"/>
  <c r="F18" i="3"/>
  <c r="C40" i="5"/>
  <c r="C8" i="5"/>
  <c r="C42" i="5"/>
  <c r="D35" i="5"/>
  <c r="D56" i="4" s="1"/>
  <c r="D36" i="5"/>
  <c r="D17" i="5" s="1"/>
  <c r="D18" i="5" s="1"/>
  <c r="D15" i="4"/>
  <c r="F15" i="3"/>
  <c r="D14" i="4"/>
  <c r="D18" i="4" s="1"/>
  <c r="C67" i="4"/>
  <c r="F21" i="3" s="1"/>
  <c r="E7" i="4"/>
  <c r="E9" i="4"/>
  <c r="F34" i="4"/>
  <c r="F37" i="4" s="1"/>
  <c r="D27" i="5" l="1"/>
  <c r="C9" i="6"/>
  <c r="E19" i="6" s="1"/>
  <c r="D28" i="5"/>
  <c r="E21" i="4"/>
  <c r="F6" i="4"/>
  <c r="E13" i="4"/>
  <c r="D26" i="4"/>
  <c r="D27" i="4" s="1"/>
  <c r="B10" i="3"/>
  <c r="C5" i="6"/>
  <c r="D26" i="5"/>
  <c r="C16" i="7"/>
  <c r="D28" i="4"/>
  <c r="M6" i="3"/>
  <c r="G15" i="3"/>
  <c r="D29" i="4"/>
  <c r="G17" i="3" s="1"/>
  <c r="C61" i="4"/>
  <c r="C64" i="4" s="1"/>
  <c r="D60" i="4" s="1"/>
  <c r="E24" i="4"/>
  <c r="F9" i="4"/>
  <c r="E16" i="4"/>
  <c r="F23" i="4"/>
  <c r="F15" i="4"/>
  <c r="C19" i="7"/>
  <c r="E27" i="6"/>
  <c r="E26" i="6"/>
  <c r="E20" i="6"/>
  <c r="E25" i="6"/>
  <c r="E23" i="6"/>
  <c r="D37" i="5"/>
  <c r="E33" i="5" s="1"/>
  <c r="E14" i="4"/>
  <c r="E18" i="4" s="1"/>
  <c r="F7" i="4"/>
  <c r="E22" i="4"/>
  <c r="E22" i="6" l="1"/>
  <c r="E17" i="6"/>
  <c r="E24" i="6"/>
  <c r="E18" i="6"/>
  <c r="E21" i="6"/>
  <c r="C62" i="4"/>
  <c r="C63" i="4" s="1"/>
  <c r="C41" i="5" s="1"/>
  <c r="C45" i="5" s="1"/>
  <c r="D29" i="5"/>
  <c r="D30" i="5" s="1"/>
  <c r="F21" i="4"/>
  <c r="F13" i="4"/>
  <c r="F14" i="4"/>
  <c r="F22" i="4"/>
  <c r="E26" i="4"/>
  <c r="E27" i="4" s="1"/>
  <c r="D6" i="6" s="1"/>
  <c r="E26" i="5"/>
  <c r="N6" i="3"/>
  <c r="D5" i="6"/>
  <c r="H15" i="3"/>
  <c r="D8" i="5"/>
  <c r="D42" i="5"/>
  <c r="F24" i="4"/>
  <c r="F16" i="4"/>
  <c r="E35" i="5"/>
  <c r="E56" i="4" s="1"/>
  <c r="D9" i="6" s="1"/>
  <c r="G16" i="3"/>
  <c r="D53" i="4"/>
  <c r="H10" i="7"/>
  <c r="D8" i="7"/>
  <c r="C8" i="7"/>
  <c r="C10" i="7"/>
  <c r="F10" i="7"/>
  <c r="D11" i="7"/>
  <c r="I8" i="7"/>
  <c r="E8" i="7"/>
  <c r="E10" i="7"/>
  <c r="D10" i="7"/>
  <c r="C20" i="6"/>
  <c r="C17" i="6"/>
  <c r="C27" i="6"/>
  <c r="C25" i="6"/>
  <c r="C24" i="6"/>
  <c r="C19" i="6"/>
  <c r="C23" i="6"/>
  <c r="C22" i="6"/>
  <c r="C21" i="6"/>
  <c r="C26" i="6"/>
  <c r="C12" i="6"/>
  <c r="H10" i="3" s="1"/>
  <c r="C18" i="6"/>
  <c r="E27" i="5"/>
  <c r="E28" i="5"/>
  <c r="C6" i="6"/>
  <c r="C17" i="7"/>
  <c r="E11" i="7" s="1"/>
  <c r="H11" i="7" l="1"/>
  <c r="D9" i="7"/>
  <c r="I11" i="7"/>
  <c r="I10" i="7"/>
  <c r="G9" i="7"/>
  <c r="H9" i="7"/>
  <c r="C12" i="7"/>
  <c r="C66" i="4"/>
  <c r="L8" i="3" s="1"/>
  <c r="F19" i="3"/>
  <c r="C11" i="7"/>
  <c r="C22" i="7"/>
  <c r="H12" i="7"/>
  <c r="C23" i="7"/>
  <c r="I12" i="7"/>
  <c r="F12" i="7"/>
  <c r="H8" i="7"/>
  <c r="F11" i="7"/>
  <c r="I9" i="7"/>
  <c r="E9" i="7"/>
  <c r="G12" i="7"/>
  <c r="G8" i="7"/>
  <c r="G10" i="7"/>
  <c r="G11" i="7"/>
  <c r="F9" i="7"/>
  <c r="F8" i="7"/>
  <c r="D24" i="6"/>
  <c r="D26" i="6"/>
  <c r="D17" i="6"/>
  <c r="D20" i="6"/>
  <c r="D22" i="6"/>
  <c r="D25" i="6"/>
  <c r="D18" i="6"/>
  <c r="D21" i="6"/>
  <c r="D23" i="6"/>
  <c r="D27" i="6"/>
  <c r="D19" i="6"/>
  <c r="L7" i="3"/>
  <c r="C46" i="5"/>
  <c r="C49" i="5"/>
  <c r="D12" i="7"/>
  <c r="C9" i="7"/>
  <c r="F28" i="5"/>
  <c r="F27" i="5"/>
  <c r="E28" i="4"/>
  <c r="C7" i="6"/>
  <c r="C8" i="6" s="1"/>
  <c r="C10" i="6" s="1"/>
  <c r="D7" i="6"/>
  <c r="D8" i="6" s="1"/>
  <c r="D10" i="6" s="1"/>
  <c r="D12" i="6"/>
  <c r="G18" i="3"/>
  <c r="D55" i="4"/>
  <c r="D57" i="4" s="1"/>
  <c r="D40" i="5"/>
  <c r="E29" i="5"/>
  <c r="E30" i="5" s="1"/>
  <c r="E36" i="5"/>
  <c r="E12" i="7"/>
  <c r="F18" i="4"/>
  <c r="F20" i="3" l="1"/>
  <c r="C6" i="5"/>
  <c r="C9" i="5" s="1"/>
  <c r="C20" i="5" s="1"/>
  <c r="C22" i="5" s="1"/>
  <c r="D11" i="6"/>
  <c r="D13" i="6"/>
  <c r="F22" i="3"/>
  <c r="C23" i="5"/>
  <c r="D21" i="5"/>
  <c r="L9" i="3"/>
  <c r="C11" i="6"/>
  <c r="H9" i="3" s="1"/>
  <c r="C13" i="6"/>
  <c r="D61" i="4"/>
  <c r="D64" i="4" s="1"/>
  <c r="E60" i="4" s="1"/>
  <c r="E8" i="5"/>
  <c r="E42" i="5"/>
  <c r="H16" i="3"/>
  <c r="E53" i="4"/>
  <c r="E29" i="4"/>
  <c r="H17" i="3" s="1"/>
  <c r="E5" i="6"/>
  <c r="F26" i="5"/>
  <c r="F29" i="5" s="1"/>
  <c r="F30" i="5" s="1"/>
  <c r="O6" i="3"/>
  <c r="I15" i="3"/>
  <c r="B9" i="3"/>
  <c r="F26" i="4"/>
  <c r="F27" i="4" s="1"/>
  <c r="E6" i="6" s="1"/>
  <c r="B29" i="3"/>
  <c r="E17" i="5"/>
  <c r="E18" i="5" s="1"/>
  <c r="E37" i="5"/>
  <c r="F33" i="5" s="1"/>
  <c r="F28" i="4" l="1"/>
  <c r="F8" i="5"/>
  <c r="F42" i="5"/>
  <c r="D62" i="4"/>
  <c r="D63" i="4" s="1"/>
  <c r="E7" i="6"/>
  <c r="E8" i="6" s="1"/>
  <c r="E12" i="6"/>
  <c r="I16" i="3"/>
  <c r="F53" i="4"/>
  <c r="F29" i="4"/>
  <c r="I17" i="3" s="1"/>
  <c r="H18" i="3"/>
  <c r="E40" i="5"/>
  <c r="E55" i="4"/>
  <c r="E57" i="4" s="1"/>
  <c r="F35" i="5"/>
  <c r="F56" i="4" s="1"/>
  <c r="E9" i="6" s="1"/>
  <c r="E10" i="6" l="1"/>
  <c r="E11" i="6"/>
  <c r="E13" i="6"/>
  <c r="E61" i="4"/>
  <c r="E64" i="4" s="1"/>
  <c r="F60" i="4" s="1"/>
  <c r="I18" i="3"/>
  <c r="F55" i="4"/>
  <c r="F57" i="4" s="1"/>
  <c r="F40" i="5"/>
  <c r="D41" i="5"/>
  <c r="D45" i="5" s="1"/>
  <c r="G19" i="3"/>
  <c r="D66" i="4"/>
  <c r="F36" i="5"/>
  <c r="F17" i="5" l="1"/>
  <c r="F18" i="5" s="1"/>
  <c r="F37" i="5"/>
  <c r="G20" i="3"/>
  <c r="M8" i="3"/>
  <c r="D6" i="5"/>
  <c r="D9" i="5" s="1"/>
  <c r="D20" i="5" s="1"/>
  <c r="D22" i="5" s="1"/>
  <c r="M7" i="3"/>
  <c r="D67" i="4"/>
  <c r="G21" i="3" s="1"/>
  <c r="D49" i="5"/>
  <c r="D46" i="5"/>
  <c r="F61" i="4"/>
  <c r="F64" i="4" s="1"/>
  <c r="E62" i="4"/>
  <c r="E63" i="4" s="1"/>
  <c r="F62" i="4" l="1"/>
  <c r="F63" i="4" s="1"/>
  <c r="D47" i="5"/>
  <c r="H19" i="3"/>
  <c r="E41" i="5"/>
  <c r="E45" i="5" s="1"/>
  <c r="E66" i="4"/>
  <c r="E21" i="5"/>
  <c r="G22" i="3"/>
  <c r="M9" i="3"/>
  <c r="D23" i="5"/>
  <c r="E49" i="5" l="1"/>
  <c r="N8" i="3"/>
  <c r="E6" i="5"/>
  <c r="E9" i="5" s="1"/>
  <c r="E20" i="5" s="1"/>
  <c r="E22" i="5" s="1"/>
  <c r="H20" i="3"/>
  <c r="E67" i="4"/>
  <c r="H21" i="3" s="1"/>
  <c r="N7" i="3"/>
  <c r="E46" i="5"/>
  <c r="F41" i="5"/>
  <c r="F45" i="5" s="1"/>
  <c r="F49" i="5" s="1"/>
  <c r="I19" i="3"/>
  <c r="F66" i="4"/>
  <c r="F21" i="5" l="1"/>
  <c r="H22" i="3"/>
  <c r="E23" i="5"/>
  <c r="N9" i="3"/>
  <c r="F9" i="3"/>
  <c r="D9" i="3"/>
  <c r="F6" i="5"/>
  <c r="F9" i="5" s="1"/>
  <c r="F20" i="5" s="1"/>
  <c r="B27" i="3"/>
  <c r="I20" i="3"/>
  <c r="O8" i="3"/>
  <c r="F67" i="4"/>
  <c r="I21" i="3" s="1"/>
  <c r="O7" i="3"/>
  <c r="D10" i="3"/>
  <c r="F46" i="5"/>
  <c r="F47" i="5" s="1"/>
  <c r="F5" i="3" s="1"/>
  <c r="B28" i="3" s="1"/>
  <c r="E47" i="5"/>
  <c r="H5" i="3"/>
  <c r="F22" i="5" l="1"/>
  <c r="I22" i="3" l="1"/>
  <c r="F23" i="5"/>
  <c r="O9" i="3"/>
  <c r="C25" i="3"/>
  <c r="B25" i="3"/>
</calcChain>
</file>

<file path=xl/sharedStrings.xml><?xml version="1.0" encoding="utf-8"?>
<sst xmlns="http://schemas.openxmlformats.org/spreadsheetml/2006/main" count="297" uniqueCount="256">
  <si>
    <t>SHOG CORPORATE TRAINING</t>
  </si>
  <si>
    <t>Financial feasibility study</t>
  </si>
  <si>
    <t>A three-year model for a new business or project: sales, costs, cash, break-even, payback and return. Built for the UAE, in dirhams, with corporate tax and end-of-service gratuity.</t>
  </si>
  <si>
    <t>HOW IT WORKS</t>
  </si>
  <si>
    <t>Inputs</t>
  </si>
  <si>
    <t>The only sheet you type in. Replace the example figures with yours, and note where each one came from.</t>
  </si>
  <si>
    <t>Summary</t>
  </si>
  <si>
    <t>The answer on one page: start-up costs, funding, payback, net present value, return, break-even and checks.</t>
  </si>
  <si>
    <t>Projections</t>
  </si>
  <si>
    <t>Profit and loss for three years, from sales down to net profit after corporate tax.</t>
  </si>
  <si>
    <t>Cash Flow</t>
  </si>
  <si>
    <t>Cash in and out, the bank loan and working capital, and a warning if cash drops below your minimum.</t>
  </si>
  <si>
    <t>Break-even</t>
  </si>
  <si>
    <t>The sales you need each year to cover every cost, with a break-even chart.</t>
  </si>
  <si>
    <t>Sensitivity</t>
  </si>
  <si>
    <t>Profit if prices or volumes differ from the plan, so you know how much room you have.</t>
  </si>
  <si>
    <t>COLOUR KEY</t>
  </si>
  <si>
    <t>1,250</t>
  </si>
  <si>
    <t>Shaded, blue figures: an assumption you type in.</t>
  </si>
  <si>
    <t>Black figures: worked out for you. Typing over one breaks the model.</t>
  </si>
  <si>
    <t>Teal figures: carried over from another sheet.</t>
  </si>
  <si>
    <t>(1,250)</t>
  </si>
  <si>
    <t>Brackets and dark red: a negative amount, such as a loss or cash going out.</t>
  </si>
  <si>
    <t>BEFORE YOU START</t>
  </si>
  <si>
    <t>•</t>
  </si>
  <si>
    <t>Enter every price and cost excluding VAT, and amounts per year unless the label says a month.</t>
  </si>
  <si>
    <t>Write down where each number came from in the Source or note column: a quote, a price list, a market rate. A model is only as good as its assumptions.</t>
  </si>
  <si>
    <t>The example is a neighbourhood café. Blank out the rows you do not need rather than deleting them.</t>
  </si>
  <si>
    <t>Every sheet except Inputs is protected, without a password, so nothing is typed over by accident. To change one, choose Review, then Unprotect Sheet.</t>
  </si>
  <si>
    <t>FROM NUMBERS TO A DECISION</t>
  </si>
  <si>
    <t>A feasibility study is more than a spreadsheet: the market research behind the sales figures, the risks, and the case you put to a bank, a partner or an investor. The Feasibility study foundations course at Shog Corporate Training walks through each step, in English and Arabic.</t>
  </si>
  <si>
    <t>See the course at training.shogconsulting.com</t>
  </si>
  <si>
    <t>Free to use and adapt. The results are estimates for planning, not financial, tax or legal advice. Template by Shog Corporate Training, version 1.0, 2026.</t>
  </si>
  <si>
    <t>Every assumption the model uses. Type only in the shaded cells; every other sheet is worked out from here.</t>
  </si>
  <si>
    <t>Example: a neighbourhood café in Dubai. Replace the shaded figures with your own and blank out the rows you do not need.</t>
  </si>
  <si>
    <t>THE PROJECT</t>
  </si>
  <si>
    <t>Business or project name</t>
  </si>
  <si>
    <t>Neighbourhood café</t>
  </si>
  <si>
    <t>Location</t>
  </si>
  <si>
    <t>Dubai, UAE</t>
  </si>
  <si>
    <t>Currency</t>
  </si>
  <si>
    <t>AED</t>
  </si>
  <si>
    <t>First year of operation</t>
  </si>
  <si>
    <t>SALES  ·  prices and costs excluding VAT</t>
  </si>
  <si>
    <t>Product or service</t>
  </si>
  <si>
    <t>Unit</t>
  </si>
  <si>
    <t>Price per unit, year 1</t>
  </si>
  <si>
    <t>Units sold, year 1</t>
  </si>
  <si>
    <t>Growth in units, year 2</t>
  </si>
  <si>
    <t>Growth in units, year 3</t>
  </si>
  <si>
    <t>Direct cost per unit, year 1</t>
  </si>
  <si>
    <t>Source or note</t>
  </si>
  <si>
    <t>Hot and cold drinks</t>
  </si>
  <si>
    <t>cup</t>
  </si>
  <si>
    <t>Example: 150 cups a day, 360 days a year</t>
  </si>
  <si>
    <t>Food and pastries</t>
  </si>
  <si>
    <t>item</t>
  </si>
  <si>
    <t>Example: about 70 items a day</t>
  </si>
  <si>
    <t>Coffee beans to take home</t>
  </si>
  <si>
    <t>bag</t>
  </si>
  <si>
    <t>Example: roaster's price list</t>
  </si>
  <si>
    <t>Office catering orders</t>
  </si>
  <si>
    <t>order</t>
  </si>
  <si>
    <t>Example: five orders a month</t>
  </si>
  <si>
    <t>Price increase per year</t>
  </si>
  <si>
    <t>Direct cost increase per year</t>
  </si>
  <si>
    <t>Card and delivery-app fees (% of sales)</t>
  </si>
  <si>
    <t>Card terminals and delivery apps take a share of every sale. Leave at 0% if they do not apply.</t>
  </si>
  <si>
    <t>STAFF</t>
  </si>
  <si>
    <t>Role</t>
  </si>
  <si>
    <t>Monthly pay per person</t>
  </si>
  <si>
    <t>Headcount, year 1</t>
  </si>
  <si>
    <t>Headcount, year 2</t>
  </si>
  <si>
    <t>Headcount, year 3</t>
  </si>
  <si>
    <t>Café manager</t>
  </si>
  <si>
    <t>Example: market rate for the area</t>
  </si>
  <si>
    <t>Barista</t>
  </si>
  <si>
    <t>A fourth barista from year 2</t>
  </si>
  <si>
    <t>Kitchen staff</t>
  </si>
  <si>
    <t>Server and cashier</t>
  </si>
  <si>
    <t>Pay rise per year</t>
  </si>
  <si>
    <t>Basic salary as a share of total pay</t>
  </si>
  <si>
    <t>Gratuity is worked out on basic salary, not the full package.</t>
  </si>
  <si>
    <t>End-of-service gratuity (days of basic pay per year)</t>
  </si>
  <si>
    <t>UAE Labour Law: 21 days' basic pay for each of the first five years of service.</t>
  </si>
  <si>
    <t>Medical insurance per person per year</t>
  </si>
  <si>
    <t>Example figure. Health cover is compulsory for employees in the UAE.</t>
  </si>
  <si>
    <t>Visa and onboarding cost per new hire</t>
  </si>
  <si>
    <t>Example figure. Charged in the year a role is added.</t>
  </si>
  <si>
    <t>RUNNING COSTS  ·  per year, excluding VAT</t>
  </si>
  <si>
    <t>Cost</t>
  </si>
  <si>
    <t>Year 1 amount</t>
  </si>
  <si>
    <t>Increase per year</t>
  </si>
  <si>
    <t>Rent</t>
  </si>
  <si>
    <t>Example: landlord's quote</t>
  </si>
  <si>
    <t>Electricity, water and internet</t>
  </si>
  <si>
    <t>Trade licence and permits</t>
  </si>
  <si>
    <t>Renewed every year</t>
  </si>
  <si>
    <t>Marketing and advertising</t>
  </si>
  <si>
    <t>Software, till system and delivery apps</t>
  </si>
  <si>
    <t>Insurance</t>
  </si>
  <si>
    <t>Accounting and audit</t>
  </si>
  <si>
    <t>Maintenance and cleaning</t>
  </si>
  <si>
    <t>Other costs</t>
  </si>
  <si>
    <t>START-UP COSTS  ·  spent before opening</t>
  </si>
  <si>
    <t>Item</t>
  </si>
  <si>
    <t>Amount</t>
  </si>
  <si>
    <t>Type</t>
  </si>
  <si>
    <t>Useful life (years)</t>
  </si>
  <si>
    <t>Fit-out and furniture</t>
  </si>
  <si>
    <t>Asset</t>
  </si>
  <si>
    <t>Example: contractor's quote</t>
  </si>
  <si>
    <t>Kitchen and coffee equipment</t>
  </si>
  <si>
    <t>Till, IT and security</t>
  </si>
  <si>
    <t>Rent deposit</t>
  </si>
  <si>
    <t>Deposit</t>
  </si>
  <si>
    <t>Refundable when the lease ends</t>
  </si>
  <si>
    <t>Licence, legal and set-up fees</t>
  </si>
  <si>
    <t>Expense</t>
  </si>
  <si>
    <t>Pre-opening marketing and training</t>
  </si>
  <si>
    <t>Asset: fit-out, equipment and anything else that lasts; its cost is spread over its useful life as depreciation. Expense: a one-off cost charged before opening. Deposit: refundable, so it is not a cost, but the cash is tied up.</t>
  </si>
  <si>
    <t>FUNDING</t>
  </si>
  <si>
    <t>Owner's capital</t>
  </si>
  <si>
    <t>Bank loan</t>
  </si>
  <si>
    <t>Received before opening and repaid in equal yearly instalments, interest included.</t>
  </si>
  <si>
    <t>Loan interest rate per year</t>
  </si>
  <si>
    <t>Loan term (years)</t>
  </si>
  <si>
    <t>WORKING CAPITAL AND CASH</t>
  </si>
  <si>
    <t>Days customers take to pay</t>
  </si>
  <si>
    <t>Mostly card and cash sales, so customers pay almost at once. Office orders on invoice would push this up.</t>
  </si>
  <si>
    <t>Days of stock held</t>
  </si>
  <si>
    <t>Days you take to pay suppliers</t>
  </si>
  <si>
    <t>Minimum cash to keep in the bank</t>
  </si>
  <si>
    <t>The model warns when cash at the end of any period falls below this.</t>
  </si>
  <si>
    <t>TAX AND RETURN</t>
  </si>
  <si>
    <t>Corporate tax rate</t>
  </si>
  <si>
    <t>UAE corporate tax: 9% on taxable income above the 0% band.</t>
  </si>
  <si>
    <t>Taxable income taxed at 0%</t>
  </si>
  <si>
    <t>The first AED 375,000 of taxable income each year is taxed at 0%.</t>
  </si>
  <si>
    <t>Most of a year's taxable income that past losses can offset</t>
  </si>
  <si>
    <t>Tax losses carry forward and can offset up to 75% of a later year's taxable income.</t>
  </si>
  <si>
    <t>Discount rate: the yearly return you require</t>
  </si>
  <si>
    <t>Used for the net present value. Higher means a stricter test.</t>
  </si>
  <si>
    <t>Value of the business at the end of year 3 (optional)</t>
  </si>
  <si>
    <t>Leave at 0 to judge the project on its first three years alone.</t>
  </si>
  <si>
    <t>VAT: enter every price and cost excluding VAT. The VAT you charge customers is paid over to the Federal Tax Authority, so it is not income, and the VAT you pay suppliers is usually reclaimed. Registration is compulsory once taxable sales pass AED 375,000 in 12 months.</t>
  </si>
  <si>
    <t>Tax rules change. The figures above are inputs so you can update them; check your own position with a tax adviser.</t>
  </si>
  <si>
    <t>START-UP COSTS</t>
  </si>
  <si>
    <t>FUNDING IN PLACE</t>
  </si>
  <si>
    <t>PAYBACK</t>
  </si>
  <si>
    <t>NET PRESENT VALUE</t>
  </si>
  <si>
    <t>Chart data</t>
  </si>
  <si>
    <t>Before opening</t>
  </si>
  <si>
    <t>Sales</t>
  </si>
  <si>
    <t>Total costs</t>
  </si>
  <si>
    <t>YEAR 3 SALES</t>
  </si>
  <si>
    <t>YEAR 3 NET PROFIT</t>
  </si>
  <si>
    <t>INTERNAL RATE OF RETURN</t>
  </si>
  <si>
    <t>BREAK-EVEN SALES A MONTH</t>
  </si>
  <si>
    <t>Net profit</t>
  </si>
  <si>
    <t>Cash at the end</t>
  </si>
  <si>
    <t>Three years at a glance</t>
  </si>
  <si>
    <t>Gross profit</t>
  </si>
  <si>
    <t>Gross margin</t>
  </si>
  <si>
    <t>Operating profit before depreciation</t>
  </si>
  <si>
    <t>Corporate tax</t>
  </si>
  <si>
    <t>Net margin</t>
  </si>
  <si>
    <t>Checks</t>
  </si>
  <si>
    <t>Sales, costs and net profit</t>
  </si>
  <si>
    <t>Cash at the end of each period</t>
  </si>
  <si>
    <t>Profit and loss</t>
  </si>
  <si>
    <t>Worked out from Inputs. Nothing to type here.</t>
  </si>
  <si>
    <t>Units sold</t>
  </si>
  <si>
    <t>Total sales</t>
  </si>
  <si>
    <t>Direct costs</t>
  </si>
  <si>
    <t>Card and delivery-app fees</t>
  </si>
  <si>
    <t>Total direct costs</t>
  </si>
  <si>
    <t>Staff</t>
  </si>
  <si>
    <t>Headcount</t>
  </si>
  <si>
    <t>Salaries</t>
  </si>
  <si>
    <t>End-of-service gratuity</t>
  </si>
  <si>
    <t>Medical insurance</t>
  </si>
  <si>
    <t>Visas and onboarding for new hires</t>
  </si>
  <si>
    <t>Total staff costs</t>
  </si>
  <si>
    <t>Running costs</t>
  </si>
  <si>
    <t>Start-up expenses</t>
  </si>
  <si>
    <t>Total running costs</t>
  </si>
  <si>
    <t>Operating profit before depreciation (EBITDA)</t>
  </si>
  <si>
    <t>Depreciation</t>
  </si>
  <si>
    <t>Operating profit</t>
  </si>
  <si>
    <t>Interest on the loan</t>
  </si>
  <si>
    <t>Profit before tax</t>
  </si>
  <si>
    <t>Tax losses brought forward</t>
  </si>
  <si>
    <t>Losses used this year</t>
  </si>
  <si>
    <t>Taxable income</t>
  </si>
  <si>
    <t>Tax losses carried forward</t>
  </si>
  <si>
    <t>Cash flow</t>
  </si>
  <si>
    <t>Cash in and out each period, the bank loan, and the figures behind payback, NPV and IRR.</t>
  </si>
  <si>
    <t>Cash from trading</t>
  </si>
  <si>
    <t>Add back depreciation (not a cash cost)</t>
  </si>
  <si>
    <t>Working capital: cash freed (+) or tied up (-)</t>
  </si>
  <si>
    <t>Start-up spending</t>
  </si>
  <si>
    <t>Assets and deposits</t>
  </si>
  <si>
    <t>Funding</t>
  </si>
  <si>
    <t>Loan received</t>
  </si>
  <si>
    <t>Loan repayments</t>
  </si>
  <si>
    <t>Cash from funding</t>
  </si>
  <si>
    <t>Net cash flow</t>
  </si>
  <si>
    <t>Cash at the start</t>
  </si>
  <si>
    <t>Against your minimum cash</t>
  </si>
  <si>
    <t>Working capital</t>
  </si>
  <si>
    <t>Money owed by customers</t>
  </si>
  <si>
    <t>Stock</t>
  </si>
  <si>
    <t>Money owed to suppliers</t>
  </si>
  <si>
    <t>Increase in working capital</t>
  </si>
  <si>
    <t>Balance at the start</t>
  </si>
  <si>
    <t>Drawn</t>
  </si>
  <si>
    <t>Interest</t>
  </si>
  <si>
    <t>Principal repaid</t>
  </si>
  <si>
    <t>Balance at the end</t>
  </si>
  <si>
    <t>Project cash flow: the basis for payback, NPV and IRR</t>
  </si>
  <si>
    <t>Less corporate tax</t>
  </si>
  <si>
    <t>Less start-up assets and deposits</t>
  </si>
  <si>
    <t>Value of the business at the end of year 3</t>
  </si>
  <si>
    <t>Project cash flow</t>
  </si>
  <si>
    <t>Cumulative</t>
  </si>
  <si>
    <t>Payback reached, years after opening</t>
  </si>
  <si>
    <t>Discount factor</t>
  </si>
  <si>
    <t>Present value</t>
  </si>
  <si>
    <t>The sales you need each year to cover every cost, and how far sales can fall before you make a loss.</t>
  </si>
  <si>
    <t>Variable costs: direct costs and fees</t>
  </si>
  <si>
    <t>Contribution after variable costs</t>
  </si>
  <si>
    <t>Contribution margin</t>
  </si>
  <si>
    <t>Fixed costs: staff, running costs, depreciation and interest</t>
  </si>
  <si>
    <t>Break-even sales a year</t>
  </si>
  <si>
    <t>Break-even sales a month</t>
  </si>
  <si>
    <t>Planned sales a month</t>
  </si>
  <si>
    <t>Margin of safety: how far sales can fall before a loss</t>
  </si>
  <si>
    <t>Year 1: sales and costs at different sales levels (the chart plots these)</t>
  </si>
  <si>
    <t>Sales level, % of year-1 plan</t>
  </si>
  <si>
    <t>Fixed costs</t>
  </si>
  <si>
    <t>Where the red total-costs line crosses the blue sales line, sales cover every cost. To the right of the crossing you make a profit; to the left, a loss. The dashed line is fixed costs: you pay them even with no sales.</t>
  </si>
  <si>
    <t>Profit before tax if prices or sales volumes differ from the plan. Change the shaded cells to test other steps.</t>
  </si>
  <si>
    <t>Year to test</t>
  </si>
  <si>
    <t>Year 1 is usually the hardest: a full year of costs while sales are still building.</t>
  </si>
  <si>
    <t>Price change ↓   Volume change →</t>
  </si>
  <si>
    <t>The plan for the chosen year</t>
  </si>
  <si>
    <t>Direct costs of units sold</t>
  </si>
  <si>
    <t>Card and app fees, % of sales</t>
  </si>
  <si>
    <t>Staff, running costs, depreciation and interest: they stay the same whatever you sell.</t>
  </si>
  <si>
    <t>How much room there is</t>
  </si>
  <si>
    <t>Break-even volume, % of plan</t>
  </si>
  <si>
    <t>At planned prices, sales volume can fall to this share of the plan before profit reaches zero.</t>
  </si>
  <si>
    <t>Break-even price, % of plan</t>
  </si>
  <si>
    <t>At planned volumes, prices can fall to this share of the plan before profit reaches zero.</t>
  </si>
  <si>
    <t>Each cell recalculates the chosen year's profit before tax: sales move with price and volume, direct costs with volume only, fees with sales, and fixed costs stay put. The outlined cell is the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</si>
</sst>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quot;–&quot;"/>
    <numFmt numFmtId="165" formatCode="0.0%;\(0.0%\);&quot;–&quot;"/>
    <numFmt numFmtId="166" formatCode="0.000"/>
    <numFmt numFmtId="167" formatCode="0.0"/>
    <numFmt numFmtId="168" formatCode="\+0%;\-0%;0%"/>
    <numFmt numFmtId="169" formatCode="0.0%"/>
    <numFmt numFmtId="170" formatCode="0.0\ &quot;years&quot;"/>
  </numFmts>
  <fonts count="33" x14ac:knownFonts="1">
    <font>
      <sz val="11"/>
      <color theme="1"/>
      <name val="Calibri"/>
      <family val="2"/>
      <scheme val="minor"/>
    </font>
    <font>
      <b/>
      <sz val="16"/>
      <color rgb="FF0F294D"/>
      <name val="Arial"/>
    </font>
    <font>
      <sz val="10"/>
      <color rgb="FF6A727C"/>
      <name val="Arial"/>
    </font>
    <font>
      <i/>
      <sz val="9"/>
      <color rgb="FF7A4E00"/>
      <name val="Arial"/>
    </font>
    <font>
      <b/>
      <sz val="9"/>
      <color rgb="FFFFFFFF"/>
      <name val="Arial"/>
    </font>
    <font>
      <sz val="10"/>
      <color rgb="FF16191D"/>
      <name val="Arial"/>
    </font>
    <font>
      <sz val="10"/>
      <color rgb="FF1557B0"/>
      <name val="Arial"/>
    </font>
    <font>
      <i/>
      <sz val="9"/>
      <color rgb="FF6A727C"/>
      <name val="Arial"/>
    </font>
    <font>
      <i/>
      <sz val="8"/>
      <color rgb="FF6A727C"/>
      <name val="Arial"/>
    </font>
    <font>
      <sz val="8"/>
      <color rgb="FF6A727C"/>
      <name val="Arial"/>
    </font>
    <font>
      <sz val="9"/>
      <color rgb="FF6A727C"/>
      <name val="Arial"/>
    </font>
    <font>
      <b/>
      <sz val="10"/>
      <color rgb="FF0F294D"/>
      <name val="Arial"/>
    </font>
    <font>
      <sz val="10"/>
      <color rgb="FF087F8C"/>
      <name val="Arial"/>
    </font>
    <font>
      <b/>
      <sz val="10"/>
      <color rgb="FF16191D"/>
      <name val="Arial"/>
    </font>
    <font>
      <i/>
      <sz val="10"/>
      <color rgb="FF6A727C"/>
      <name val="Arial"/>
    </font>
    <font>
      <b/>
      <sz val="11"/>
      <color rgb="FF0F294D"/>
      <name val="Arial"/>
    </font>
    <font>
      <sz val="9"/>
      <color rgb="FF16191D"/>
      <name val="Arial"/>
    </font>
    <font>
      <b/>
      <sz val="8"/>
      <color rgb="FFFFFFFF"/>
      <name val="Arial"/>
    </font>
    <font>
      <b/>
      <sz val="10"/>
      <color rgb="FF1557B0"/>
      <name val="Arial"/>
    </font>
    <font>
      <b/>
      <sz val="7"/>
      <color rgb="FF6A727C"/>
      <name val="Arial"/>
    </font>
    <font>
      <b/>
      <sz val="17"/>
      <color rgb="FF0F294D"/>
      <name val="Arial"/>
    </font>
    <font>
      <b/>
      <sz val="17"/>
      <color rgb="FF087F8C"/>
      <name val="Arial"/>
    </font>
    <font>
      <b/>
      <sz val="10"/>
      <color rgb="FF087F8C"/>
      <name val="Arial"/>
    </font>
    <font>
      <b/>
      <sz val="9"/>
      <color rgb="FF6A727C"/>
      <name val="Arial"/>
    </font>
    <font>
      <b/>
      <sz val="9"/>
      <color rgb="FF4071BA"/>
      <name val="Arial"/>
    </font>
    <font>
      <b/>
      <sz val="20"/>
      <color rgb="FF0F294D"/>
      <name val="Arial"/>
    </font>
    <font>
      <sz val="11"/>
      <color rgb="FF6A727C"/>
      <name val="Arial"/>
    </font>
    <font>
      <b/>
      <sz val="9"/>
      <color rgb="FF1F4E84"/>
      <name val="Arial"/>
    </font>
    <font>
      <b/>
      <sz val="14"/>
      <color rgb="FF4071BA"/>
      <name val="Arial"/>
    </font>
    <font>
      <b/>
      <u/>
      <sz val="10"/>
      <color rgb="FF1F4E84"/>
      <name val="Arial"/>
    </font>
    <font>
      <sz val="10"/>
      <color rgb="FF8F1515"/>
      <name val="Arial"/>
    </font>
    <font>
      <b/>
      <sz val="11"/>
      <color rgb="FF4071BA"/>
      <name val="Arial"/>
    </font>
    <font>
      <b/>
      <u/>
      <sz val="10"/>
      <color rgb="FF4071BA"/>
      <name val="Arial"/>
    </font>
  </fonts>
  <fills count="11">
    <fill>
      <patternFill patternType="none"/>
    </fill>
    <fill>
      <patternFill patternType="gray125"/>
    </fill>
    <fill>
      <patternFill patternType="solid">
        <fgColor rgb="FFFCF3E5"/>
        <bgColor rgb="FFFCF3E5"/>
      </patternFill>
    </fill>
    <fill>
      <patternFill patternType="solid">
        <fgColor rgb="FF1F4E84"/>
        <bgColor rgb="FF1F4E84"/>
      </patternFill>
    </fill>
    <fill>
      <patternFill patternType="solid">
        <fgColor rgb="FFFBF1E0"/>
        <bgColor rgb="FFFBF1E0"/>
      </patternFill>
    </fill>
    <fill>
      <patternFill patternType="solid">
        <fgColor rgb="FF6A727C"/>
        <bgColor rgb="FF6A727C"/>
      </patternFill>
    </fill>
    <fill>
      <patternFill patternType="solid">
        <fgColor rgb="FFEFF1F6"/>
        <bgColor rgb="FFEFF1F6"/>
      </patternFill>
    </fill>
    <fill>
      <patternFill patternType="solid">
        <fgColor rgb="FF4071BA"/>
        <bgColor rgb="FF4071BA"/>
      </patternFill>
    </fill>
    <fill>
      <patternFill patternType="solid">
        <fgColor rgb="FFFFFFFF"/>
        <bgColor rgb="FFFFFFFF"/>
      </patternFill>
    </fill>
    <fill>
      <patternFill patternType="solid">
        <fgColor rgb="FF0F294D"/>
        <bgColor rgb="FF0F294D"/>
      </patternFill>
    </fill>
    <fill>
      <patternFill patternType="solid">
        <fgColor rgb="FFFCFBF8"/>
        <bgColor rgb="FFFCFBF8"/>
      </patternFill>
    </fill>
  </fills>
  <borders count="12">
    <border>
      <left/>
      <right/>
      <top/>
      <bottom/>
      <diagonal/>
    </border>
    <border>
      <left/>
      <right/>
      <top/>
      <bottom style="medium">
        <color rgb="FF4071BA"/>
      </bottom>
      <diagonal/>
    </border>
    <border>
      <left style="thin">
        <color rgb="FFF3D39D"/>
      </left>
      <right style="thin">
        <color rgb="FFF3D39D"/>
      </right>
      <top style="thin">
        <color rgb="FFF3D39D"/>
      </top>
      <bottom style="thin">
        <color rgb="FFF3D39D"/>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thin">
        <color rgb="FF4071BA"/>
      </bottom>
      <diagonal/>
    </border>
    <border>
      <left/>
      <right/>
      <top style="thin">
        <color rgb="FF0F294D"/>
      </top>
      <bottom/>
      <diagonal/>
    </border>
    <border>
      <left/>
      <right/>
      <top style="thin">
        <color rgb="FF0F294D"/>
      </top>
      <bottom style="thin">
        <color rgb="FF0F294D"/>
      </bottom>
      <diagonal/>
    </border>
    <border>
      <left/>
      <right/>
      <top style="thin">
        <color rgb="FF0F294D"/>
      </top>
      <bottom style="double">
        <color rgb="FF0F294D"/>
      </bottom>
      <diagonal/>
    </border>
    <border>
      <left style="thin">
        <color rgb="FFE0E4EB"/>
      </left>
      <right style="thin">
        <color rgb="FFE0E4EB"/>
      </right>
      <top style="thin">
        <color rgb="FFE0E4EB"/>
      </top>
      <bottom style="thin">
        <color rgb="FFE0E4EB"/>
      </bottom>
      <diagonal/>
    </border>
    <border>
      <left/>
      <right/>
      <top/>
      <bottom style="thin">
        <color rgb="FFE0E4EB"/>
      </bottom>
      <diagonal/>
    </border>
  </borders>
  <cellStyleXfs count="1">
    <xf numFmtId="0" fontId="0" fillId="0" borderId="0"/>
  </cellStyleXfs>
  <cellXfs count="100">
    <xf numFmtId="0" fontId="0" fillId="0" borderId="0" xfId="0"/>
    <xf numFmtId="0" fontId="24" fillId="0" borderId="0" xfId="0" applyFont="1" applyAlignment="1">
      <alignment horizontal="left" vertical="center"/>
    </xf>
    <xf numFmtId="0" fontId="28" fillId="0" borderId="11" xfId="0" applyFont="1" applyBorder="1" applyAlignment="1">
      <alignment horizontal="center" vertical="center" wrapText="1"/>
    </xf>
    <xf numFmtId="0" fontId="29" fillId="0" borderId="11" xfId="0" applyFont="1" applyBorder="1" applyAlignment="1">
      <alignment horizontal="left" vertical="center"/>
    </xf>
    <xf numFmtId="0" fontId="6" fillId="4" borderId="2" xfId="0" applyFont="1" applyFill="1" applyBorder="1" applyAlignment="1">
      <alignment horizontal="right" vertical="center" indent="1"/>
    </xf>
    <xf numFmtId="0" fontId="5" fillId="0" borderId="0" xfId="0" applyFont="1" applyAlignment="1">
      <alignment horizontal="left" vertical="center" indent="1"/>
    </xf>
    <xf numFmtId="0" fontId="5" fillId="8" borderId="10" xfId="0" applyFont="1" applyFill="1" applyBorder="1" applyAlignment="1">
      <alignment horizontal="right" vertical="center" indent="1"/>
    </xf>
    <xf numFmtId="0" fontId="12" fillId="8" borderId="10" xfId="0" applyFont="1" applyFill="1" applyBorder="1" applyAlignment="1">
      <alignment horizontal="right" vertical="center" indent="1"/>
    </xf>
    <xf numFmtId="0" fontId="30" fillId="8" borderId="10" xfId="0" applyFont="1" applyFill="1" applyBorder="1" applyAlignment="1">
      <alignment horizontal="right" vertical="center" indent="1"/>
    </xf>
    <xf numFmtId="0" fontId="3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left" vertical="center"/>
    </xf>
    <xf numFmtId="0" fontId="0" fillId="0" borderId="1" xfId="0" applyBorder="1"/>
    <xf numFmtId="0" fontId="5" fillId="0" borderId="0" xfId="0" applyFont="1" applyAlignment="1">
      <alignment horizontal="left" vertical="center"/>
    </xf>
    <xf numFmtId="0" fontId="6" fillId="4" borderId="2" xfId="0" applyFont="1" applyFill="1" applyBorder="1" applyAlignment="1" applyProtection="1">
      <alignment horizontal="left" vertical="center" indent="1"/>
      <protection locked="0"/>
    </xf>
    <xf numFmtId="1" fontId="6" fillId="4" borderId="2" xfId="0" applyNumberFormat="1" applyFont="1" applyFill="1" applyBorder="1" applyAlignment="1" applyProtection="1">
      <alignment horizontal="left" vertical="center" indent="1"/>
      <protection locked="0"/>
    </xf>
    <xf numFmtId="0" fontId="4" fillId="3" borderId="3" xfId="0" applyFont="1" applyFill="1" applyBorder="1" applyAlignment="1">
      <alignment horizontal="center" vertical="center" wrapText="1"/>
    </xf>
    <xf numFmtId="4" fontId="6" fillId="4" borderId="2" xfId="0" applyNumberFormat="1" applyFont="1" applyFill="1" applyBorder="1" applyAlignment="1" applyProtection="1">
      <alignment horizontal="right" vertical="center"/>
      <protection locked="0"/>
    </xf>
    <xf numFmtId="164" fontId="6" fillId="4" borderId="2" xfId="0" applyNumberFormat="1" applyFont="1" applyFill="1" applyBorder="1" applyAlignment="1" applyProtection="1">
      <alignment horizontal="right" vertical="center"/>
      <protection locked="0"/>
    </xf>
    <xf numFmtId="165" fontId="6" fillId="4" borderId="2" xfId="0" applyNumberFormat="1" applyFont="1" applyFill="1" applyBorder="1" applyAlignment="1" applyProtection="1">
      <alignment horizontal="right" vertical="center"/>
      <protection locked="0"/>
    </xf>
    <xf numFmtId="0" fontId="7" fillId="4" borderId="2" xfId="0" applyFont="1" applyFill="1" applyBorder="1" applyAlignment="1" applyProtection="1">
      <alignment horizontal="left" vertical="center" indent="1"/>
      <protection locked="0"/>
    </xf>
    <xf numFmtId="1" fontId="6" fillId="4" borderId="2" xfId="0" applyNumberFormat="1" applyFont="1" applyFill="1" applyBorder="1" applyAlignment="1" applyProtection="1">
      <alignment horizontal="right" vertical="center"/>
      <protection locked="0"/>
    </xf>
    <xf numFmtId="0" fontId="23" fillId="0" borderId="0" xfId="0" applyFont="1" applyAlignment="1">
      <alignment horizontal="left" vertical="center"/>
    </xf>
    <xf numFmtId="0" fontId="10" fillId="0" borderId="0" xfId="0" applyFont="1" applyAlignment="1">
      <alignment horizontal="left" vertical="center"/>
    </xf>
    <xf numFmtId="3" fontId="10" fillId="0" borderId="0" xfId="0" applyNumberFormat="1" applyFont="1"/>
    <xf numFmtId="0" fontId="11" fillId="0" borderId="6" xfId="0" applyFont="1" applyBorder="1" applyAlignment="1">
      <alignment horizontal="left" vertical="center"/>
    </xf>
    <xf numFmtId="0" fontId="0" fillId="0" borderId="6" xfId="0" applyBorder="1"/>
    <xf numFmtId="0" fontId="4" fillId="5" borderId="3" xfId="0" applyFont="1" applyFill="1" applyBorder="1" applyAlignment="1">
      <alignment horizontal="center" vertical="center" wrapText="1"/>
    </xf>
    <xf numFmtId="164" fontId="12" fillId="0" borderId="11" xfId="0" applyNumberFormat="1" applyFont="1" applyBorder="1" applyAlignment="1">
      <alignment horizontal="right" vertical="center"/>
    </xf>
    <xf numFmtId="165" fontId="12" fillId="0" borderId="11" xfId="0" applyNumberFormat="1" applyFont="1" applyBorder="1" applyAlignment="1">
      <alignment horizontal="right" vertical="center"/>
    </xf>
    <xf numFmtId="164" fontId="22" fillId="6" borderId="11" xfId="0" applyNumberFormat="1" applyFont="1" applyFill="1" applyBorder="1" applyAlignment="1">
      <alignment horizontal="right" vertical="center"/>
    </xf>
    <xf numFmtId="0" fontId="4" fillId="0" borderId="0" xfId="0" applyFont="1" applyAlignment="1">
      <alignment horizontal="center" vertical="center" wrapText="1"/>
    </xf>
    <xf numFmtId="0" fontId="7" fillId="0" borderId="0" xfId="0" applyFont="1" applyAlignment="1">
      <alignment horizontal="left" vertical="center"/>
    </xf>
    <xf numFmtId="0" fontId="12" fillId="0" borderId="0" xfId="0" applyFont="1" applyAlignment="1">
      <alignment horizontal="left" vertical="center" indent="1"/>
    </xf>
    <xf numFmtId="164" fontId="5" fillId="0" borderId="0" xfId="0" applyNumberFormat="1" applyFont="1" applyAlignment="1">
      <alignment horizontal="right" vertical="center"/>
    </xf>
    <xf numFmtId="0" fontId="13" fillId="0" borderId="7" xfId="0" applyFont="1" applyBorder="1" applyAlignment="1">
      <alignment horizontal="left" vertical="center"/>
    </xf>
    <xf numFmtId="164" fontId="13" fillId="0" borderId="7" xfId="0" applyNumberFormat="1" applyFont="1" applyBorder="1" applyAlignment="1">
      <alignment horizontal="right" vertical="center"/>
    </xf>
    <xf numFmtId="0" fontId="11" fillId="6" borderId="8" xfId="0" applyFont="1" applyFill="1" applyBorder="1" applyAlignment="1">
      <alignment horizontal="left" vertical="center"/>
    </xf>
    <xf numFmtId="164" fontId="11" fillId="6" borderId="8" xfId="0" applyNumberFormat="1" applyFont="1" applyFill="1" applyBorder="1" applyAlignment="1">
      <alignment horizontal="right" vertical="center"/>
    </xf>
    <xf numFmtId="0" fontId="14" fillId="0" borderId="0" xfId="0" applyFont="1" applyAlignment="1">
      <alignment horizontal="left" vertical="center" indent="1"/>
    </xf>
    <xf numFmtId="165" fontId="14" fillId="0" borderId="0" xfId="0" applyNumberFormat="1" applyFont="1" applyAlignment="1">
      <alignment horizontal="right" vertical="center"/>
    </xf>
    <xf numFmtId="164" fontId="14" fillId="0" borderId="0" xfId="0" applyNumberFormat="1" applyFont="1" applyAlignment="1">
      <alignment horizontal="right" vertical="center"/>
    </xf>
    <xf numFmtId="164" fontId="12" fillId="0" borderId="0" xfId="0" applyNumberFormat="1" applyFont="1" applyAlignment="1">
      <alignment horizontal="right" vertical="center"/>
    </xf>
    <xf numFmtId="0" fontId="2" fillId="0" borderId="0" xfId="0" applyFont="1" applyAlignment="1">
      <alignment horizontal="left" vertical="center" indent="1"/>
    </xf>
    <xf numFmtId="164" fontId="2" fillId="0" borderId="0" xfId="0" applyNumberFormat="1" applyFont="1" applyAlignment="1">
      <alignment horizontal="right" vertical="center"/>
    </xf>
    <xf numFmtId="0" fontId="15" fillId="6" borderId="9" xfId="0" applyFont="1" applyFill="1" applyBorder="1" applyAlignment="1">
      <alignment horizontal="left" vertical="center"/>
    </xf>
    <xf numFmtId="164" fontId="15" fillId="6" borderId="9" xfId="0" applyNumberFormat="1" applyFont="1" applyFill="1" applyBorder="1" applyAlignment="1">
      <alignment horizontal="right" vertical="center"/>
    </xf>
    <xf numFmtId="0" fontId="11" fillId="0" borderId="7" xfId="0" applyFont="1" applyBorder="1" applyAlignment="1">
      <alignment horizontal="left" vertical="center"/>
    </xf>
    <xf numFmtId="0" fontId="5" fillId="0" borderId="0" xfId="0" applyFont="1" applyAlignment="1">
      <alignment horizontal="center" vertical="center"/>
    </xf>
    <xf numFmtId="167" fontId="2" fillId="0" borderId="0" xfId="0" applyNumberFormat="1" applyFont="1" applyAlignment="1">
      <alignment horizontal="right" vertical="center"/>
    </xf>
    <xf numFmtId="166" fontId="2" fillId="0" borderId="0" xfId="0" applyNumberFormat="1" applyFont="1" applyAlignment="1">
      <alignment horizontal="right" vertical="center"/>
    </xf>
    <xf numFmtId="165" fontId="5" fillId="0" borderId="0" xfId="0" applyNumberFormat="1" applyFont="1" applyAlignment="1">
      <alignment horizontal="right" vertical="center"/>
    </xf>
    <xf numFmtId="0" fontId="11" fillId="6" borderId="0" xfId="0" applyFont="1" applyFill="1" applyAlignment="1">
      <alignment horizontal="left" vertical="center"/>
    </xf>
    <xf numFmtId="164" fontId="11" fillId="6" borderId="0" xfId="0" applyNumberFormat="1" applyFont="1" applyFill="1" applyAlignment="1">
      <alignment horizontal="right" vertical="center"/>
    </xf>
    <xf numFmtId="165" fontId="11" fillId="6" borderId="0" xfId="0" applyNumberFormat="1" applyFont="1" applyFill="1" applyAlignment="1">
      <alignment horizontal="right" vertical="center"/>
    </xf>
    <xf numFmtId="0" fontId="4" fillId="7" borderId="3" xfId="0" applyFont="1" applyFill="1" applyBorder="1" applyAlignment="1">
      <alignment horizontal="center" vertical="center" wrapText="1"/>
    </xf>
    <xf numFmtId="9" fontId="10" fillId="0" borderId="10" xfId="0" applyNumberFormat="1" applyFont="1" applyBorder="1" applyAlignment="1">
      <alignment horizontal="center" vertical="center" wrapText="1"/>
    </xf>
    <xf numFmtId="164" fontId="16" fillId="0" borderId="10" xfId="0" applyNumberFormat="1" applyFont="1" applyBorder="1" applyAlignment="1">
      <alignment horizontal="right" vertical="center"/>
    </xf>
    <xf numFmtId="0" fontId="11" fillId="0" borderId="0" xfId="0" applyFont="1" applyAlignment="1">
      <alignment horizontal="left" vertical="center"/>
    </xf>
    <xf numFmtId="1" fontId="6" fillId="4" borderId="2" xfId="0" applyNumberFormat="1" applyFont="1" applyFill="1" applyBorder="1" applyAlignment="1" applyProtection="1">
      <alignment horizontal="center" vertical="center"/>
      <protection locked="0"/>
    </xf>
    <xf numFmtId="0" fontId="17" fillId="3" borderId="0" xfId="0" applyFont="1" applyFill="1" applyAlignment="1">
      <alignment horizontal="center" vertical="center" wrapText="1"/>
    </xf>
    <xf numFmtId="168" fontId="18" fillId="4" borderId="2" xfId="0" applyNumberFormat="1" applyFont="1" applyFill="1" applyBorder="1" applyAlignment="1" applyProtection="1">
      <alignment horizontal="center" vertical="center"/>
      <protection locked="0"/>
    </xf>
    <xf numFmtId="164" fontId="5" fillId="0" borderId="3" xfId="0" applyNumberFormat="1" applyFont="1" applyBorder="1" applyAlignment="1">
      <alignment horizontal="center" vertical="center"/>
    </xf>
    <xf numFmtId="165" fontId="12" fillId="0" borderId="0" xfId="0" applyNumberFormat="1" applyFont="1" applyAlignment="1">
      <alignment horizontal="right" vertical="center"/>
    </xf>
    <xf numFmtId="169" fontId="11" fillId="6" borderId="0" xfId="0" applyNumberFormat="1" applyFont="1" applyFill="1" applyAlignment="1">
      <alignment horizontal="right" vertical="center"/>
    </xf>
    <xf numFmtId="0" fontId="32" fillId="10" borderId="0" xfId="0" applyFont="1" applyFill="1" applyAlignment="1">
      <alignment horizontal="left" vertical="center" indent="1"/>
    </xf>
    <xf numFmtId="0" fontId="0" fillId="10" borderId="0" xfId="0" applyFill="1"/>
    <xf numFmtId="0" fontId="27" fillId="0" borderId="0" xfId="0" applyFont="1" applyAlignment="1">
      <alignment horizontal="left" vertical="center"/>
    </xf>
    <xf numFmtId="0" fontId="0" fillId="0" borderId="0" xfId="0"/>
    <xf numFmtId="0" fontId="26" fillId="0" borderId="0" xfId="0" applyFont="1" applyAlignment="1">
      <alignment horizontal="left" vertical="center" wrapText="1"/>
    </xf>
    <xf numFmtId="0" fontId="9" fillId="0" borderId="0" xfId="0" applyFont="1" applyAlignment="1">
      <alignment horizontal="left" vertical="center" wrapText="1"/>
    </xf>
    <xf numFmtId="0" fontId="5" fillId="0" borderId="0" xfId="0" applyFont="1" applyAlignment="1">
      <alignment horizontal="left" vertical="center" wrapText="1"/>
    </xf>
    <xf numFmtId="0" fontId="5" fillId="10" borderId="0" xfId="0" applyFont="1" applyFill="1" applyAlignment="1">
      <alignment horizontal="left" vertical="center" wrapText="1" indent="1"/>
    </xf>
    <xf numFmtId="0" fontId="5" fillId="0" borderId="11" xfId="0" applyFont="1" applyBorder="1" applyAlignment="1">
      <alignment horizontal="left" vertical="center" wrapText="1"/>
    </xf>
    <xf numFmtId="0" fontId="0" fillId="0" borderId="11" xfId="0" applyBorder="1"/>
    <xf numFmtId="0" fontId="4" fillId="9" borderId="0" xfId="0" applyFont="1" applyFill="1" applyAlignment="1">
      <alignment horizontal="left" vertical="center" indent="1"/>
    </xf>
    <xf numFmtId="0" fontId="0" fillId="9" borderId="0" xfId="0" applyFill="1"/>
    <xf numFmtId="0" fontId="25" fillId="0" borderId="0" xfId="0" applyFont="1" applyAlignment="1">
      <alignment horizontal="left" vertical="center"/>
    </xf>
    <xf numFmtId="0" fontId="4" fillId="3" borderId="0" xfId="0" applyFont="1" applyFill="1" applyAlignment="1">
      <alignment horizontal="left" vertical="center" indent="1"/>
    </xf>
    <xf numFmtId="0" fontId="0" fillId="3" borderId="0" xfId="0" applyFill="1"/>
    <xf numFmtId="0" fontId="10" fillId="0" borderId="0" xfId="0" applyFont="1" applyAlignment="1">
      <alignment horizontal="left" vertical="center" wrapText="1"/>
    </xf>
    <xf numFmtId="0" fontId="7" fillId="4" borderId="2" xfId="0" applyFont="1" applyFill="1" applyBorder="1" applyAlignment="1" applyProtection="1">
      <alignment horizontal="left" vertical="center" indent="1"/>
      <protection locked="0"/>
    </xf>
    <xf numFmtId="0" fontId="0" fillId="4" borderId="2" xfId="0" applyFill="1" applyBorder="1" applyProtection="1">
      <protection locked="0"/>
    </xf>
    <xf numFmtId="0" fontId="8" fillId="0" borderId="0" xfId="0" applyFont="1" applyAlignment="1">
      <alignment horizontal="left" vertical="center" wrapText="1" indent="1"/>
    </xf>
    <xf numFmtId="0" fontId="4" fillId="3" borderId="3" xfId="0" applyFont="1" applyFill="1" applyBorder="1" applyAlignment="1">
      <alignment horizontal="center" vertical="center" wrapText="1"/>
    </xf>
    <xf numFmtId="0" fontId="0" fillId="0" borderId="4" xfId="0" applyBorder="1"/>
    <xf numFmtId="0" fontId="0" fillId="0" borderId="5" xfId="0" applyBorder="1"/>
    <xf numFmtId="0" fontId="6" fillId="4" borderId="2" xfId="0" applyFont="1" applyFill="1" applyBorder="1" applyAlignment="1" applyProtection="1">
      <alignment horizontal="left" vertical="center" indent="1"/>
      <protection locked="0"/>
    </xf>
    <xf numFmtId="0" fontId="3" fillId="2" borderId="0" xfId="0" applyFont="1" applyFill="1" applyAlignment="1">
      <alignment horizontal="left" vertical="center" indent="1"/>
    </xf>
    <xf numFmtId="0" fontId="5" fillId="0" borderId="0" xfId="0" applyFont="1" applyAlignment="1">
      <alignment horizontal="left" vertical="center" indent="1"/>
    </xf>
    <xf numFmtId="164" fontId="20" fillId="6" borderId="3" xfId="0" applyNumberFormat="1" applyFont="1" applyFill="1" applyBorder="1" applyAlignment="1">
      <alignment horizontal="left" vertical="center" indent="1"/>
    </xf>
    <xf numFmtId="0" fontId="0" fillId="6" borderId="3" xfId="0" applyFill="1" applyBorder="1"/>
    <xf numFmtId="169" fontId="21" fillId="6" borderId="3" xfId="0" applyNumberFormat="1" applyFont="1" applyFill="1" applyBorder="1" applyAlignment="1">
      <alignment horizontal="left" vertical="center" indent="1"/>
    </xf>
    <xf numFmtId="0" fontId="5" fillId="0" borderId="11" xfId="0" applyFont="1" applyBorder="1" applyAlignment="1">
      <alignment horizontal="left" vertical="center" indent="1"/>
    </xf>
    <xf numFmtId="0" fontId="11" fillId="6" borderId="11" xfId="0" applyFont="1" applyFill="1" applyBorder="1" applyAlignment="1">
      <alignment horizontal="left" vertical="center" indent="1"/>
    </xf>
    <xf numFmtId="0" fontId="0" fillId="6" borderId="11" xfId="0" applyFill="1" applyBorder="1"/>
    <xf numFmtId="0" fontId="9" fillId="6" borderId="3" xfId="0" applyFont="1" applyFill="1" applyBorder="1" applyAlignment="1">
      <alignment horizontal="left" vertical="center" indent="1"/>
    </xf>
    <xf numFmtId="0" fontId="19" fillId="6" borderId="3" xfId="0" applyFont="1" applyFill="1" applyBorder="1" applyAlignment="1">
      <alignment horizontal="left" vertical="center" indent="1"/>
    </xf>
    <xf numFmtId="170" fontId="21" fillId="6" borderId="3" xfId="0" applyNumberFormat="1" applyFont="1" applyFill="1" applyBorder="1" applyAlignment="1">
      <alignment horizontal="left" vertical="center" indent="1"/>
    </xf>
    <xf numFmtId="164" fontId="21" fillId="6" borderId="3" xfId="0" applyNumberFormat="1" applyFont="1" applyFill="1" applyBorder="1" applyAlignment="1">
      <alignment horizontal="left" vertical="center" indent="1"/>
    </xf>
  </cellXfs>
  <cellStyles count="1">
    <cellStyle name="Normal" xfId="0" builtinId="0"/>
  </cellStyles>
  <dxfs count="17">
    <dxf>
      <border>
        <left style="thin">
          <color rgb="FF0F294D"/>
        </left>
        <right style="thin">
          <color rgb="FF0F294D"/>
        </right>
        <top style="thin">
          <color rgb="FF0F294D"/>
        </top>
        <bottom style="thin">
          <color rgb="FF0F294D"/>
        </bottom>
      </border>
    </dxf>
    <dxf>
      <font>
        <color rgb="FF05555E"/>
      </font>
      <fill>
        <patternFill patternType="solid">
          <fgColor rgb="FFD7EBED"/>
          <bgColor rgb="FFD7EBED"/>
        </patternFill>
      </fill>
    </dxf>
    <dxf>
      <font>
        <b/>
        <color rgb="FF8F1515"/>
      </font>
      <fill>
        <patternFill patternType="solid">
          <fgColor rgb="FFF5D7D7"/>
          <bgColor rgb="FFF5D7D7"/>
        </patternFill>
      </fill>
    </dxf>
    <dxf>
      <font>
        <b/>
        <color rgb="FFC52020"/>
      </font>
    </dxf>
    <dxf>
      <font>
        <b/>
        <color rgb="FFC52020"/>
      </font>
    </dxf>
    <dxf>
      <font>
        <b/>
        <color rgb="FF05555E"/>
      </font>
      <fill>
        <patternFill patternType="solid">
          <fgColor rgb="FFD7EBED"/>
          <bgColor rgb="FFD7EBED"/>
        </patternFill>
      </fill>
    </dxf>
    <dxf>
      <font>
        <b/>
        <color rgb="FFFFFFFF"/>
      </font>
      <fill>
        <patternFill patternType="solid">
          <fgColor rgb="FFC52020"/>
          <bgColor rgb="FFC52020"/>
        </patternFill>
      </fill>
    </dxf>
    <dxf>
      <font>
        <color rgb="FF8F1515"/>
      </font>
    </dxf>
    <dxf>
      <font>
        <color rgb="FF8F1515"/>
      </font>
    </dxf>
    <dxf>
      <font>
        <color rgb="FF8F1515"/>
      </font>
    </dxf>
    <dxf>
      <font>
        <b/>
        <color rgb="FF8F1515"/>
      </font>
    </dxf>
    <dxf>
      <font>
        <b/>
        <color rgb="FF8F1515"/>
      </font>
    </dxf>
    <dxf>
      <font>
        <b/>
        <color rgb="FF6A727C"/>
      </font>
      <fill>
        <patternFill patternType="solid">
          <fgColor rgb="FFEFF1F6"/>
          <bgColor rgb="FFEFF1F6"/>
        </patternFill>
      </fill>
    </dxf>
    <dxf>
      <font>
        <b/>
        <color rgb="FF6A727C"/>
      </font>
      <fill>
        <patternFill patternType="solid">
          <fgColor rgb="FFEFF1F6"/>
          <bgColor rgb="FFEFF1F6"/>
        </patternFill>
      </fill>
    </dxf>
    <dxf>
      <font>
        <b/>
        <color rgb="FF7A4E00"/>
      </font>
      <fill>
        <patternFill patternType="solid">
          <fgColor rgb="FFF7E4C2"/>
          <bgColor rgb="FFF7E4C2"/>
        </patternFill>
      </fill>
    </dxf>
    <dxf>
      <font>
        <b/>
        <color rgb="FFFFFFFF"/>
      </font>
      <fill>
        <patternFill patternType="solid">
          <fgColor rgb="FFC52020"/>
          <bgColor rgb="FFC52020"/>
        </patternFill>
      </fill>
    </dxf>
    <dxf>
      <font>
        <b/>
        <color rgb="FF05555E"/>
      </font>
      <fill>
        <patternFill patternType="solid">
          <fgColor rgb="FFD7EBED"/>
          <bgColor rgb="FFD7EBE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Summary!$K$6</c:f>
              <c:strCache>
                <c:ptCount val="1"/>
                <c:pt idx="0">
                  <c:v>Sales</c:v>
                </c:pt>
              </c:strCache>
            </c:strRef>
          </c:tx>
          <c:spPr>
            <a:solidFill>
              <a:srgbClr val="4071BA"/>
            </a:solidFill>
            <a:ln>
              <a:solidFill>
                <a:srgbClr val="4071BA"/>
              </a:solidFill>
              <a:prstDash val="solid"/>
            </a:ln>
          </c:spPr>
          <c:invertIfNegative val="0"/>
          <c:cat>
            <c:strRef>
              <c:f>Summary!$L$5:$O$5</c:f>
              <c:strCache>
                <c:ptCount val="4"/>
                <c:pt idx="0">
                  <c:v>Before opening</c:v>
                </c:pt>
                <c:pt idx="1">
                  <c:v>Year 1</c:v>
                </c:pt>
                <c:pt idx="2">
                  <c:v>Year 2</c:v>
                </c:pt>
                <c:pt idx="3">
                  <c:v>Year 3</c:v>
                </c:pt>
              </c:strCache>
            </c:strRef>
          </c:cat>
          <c:val>
            <c:numRef>
              <c:f>Summary!$L$6:$O$6</c:f>
              <c:numCache>
                <c:formatCode>#,##0</c:formatCode>
                <c:ptCount val="4"/>
                <c:pt idx="0">
                  <c:v>0</c:v>
                </c:pt>
                <c:pt idx="1">
                  <c:v>1729000</c:v>
                </c:pt>
                <c:pt idx="2">
                  <c:v>2062368.9999999995</c:v>
                </c:pt>
                <c:pt idx="3">
                  <c:v>2354805.4670000002</c:v>
                </c:pt>
              </c:numCache>
            </c:numRef>
          </c:val>
          <c:extLst>
            <c:ext xmlns:c16="http://schemas.microsoft.com/office/drawing/2014/chart" uri="{C3380CC4-5D6E-409C-BE32-E72D297353CC}">
              <c16:uniqueId val="{00000000-A27F-4134-A4B4-B9A0B969637D}"/>
            </c:ext>
          </c:extLst>
        </c:ser>
        <c:ser>
          <c:idx val="1"/>
          <c:order val="1"/>
          <c:tx>
            <c:strRef>
              <c:f>Summary!$K$7</c:f>
              <c:strCache>
                <c:ptCount val="1"/>
                <c:pt idx="0">
                  <c:v>Total costs</c:v>
                </c:pt>
              </c:strCache>
            </c:strRef>
          </c:tx>
          <c:spPr>
            <a:solidFill>
              <a:srgbClr val="B7C0CC"/>
            </a:solidFill>
            <a:ln>
              <a:solidFill>
                <a:srgbClr val="B7C0CC"/>
              </a:solidFill>
              <a:prstDash val="solid"/>
            </a:ln>
          </c:spPr>
          <c:invertIfNegative val="0"/>
          <c:cat>
            <c:strRef>
              <c:f>Summary!$L$5:$O$5</c:f>
              <c:strCache>
                <c:ptCount val="4"/>
                <c:pt idx="0">
                  <c:v>Before opening</c:v>
                </c:pt>
                <c:pt idx="1">
                  <c:v>Year 1</c:v>
                </c:pt>
                <c:pt idx="2">
                  <c:v>Year 2</c:v>
                </c:pt>
                <c:pt idx="3">
                  <c:v>Year 3</c:v>
                </c:pt>
              </c:strCache>
            </c:strRef>
          </c:cat>
          <c:val>
            <c:numRef>
              <c:f>Summary!$L$7:$O$7</c:f>
              <c:numCache>
                <c:formatCode>#,##0</c:formatCode>
                <c:ptCount val="4"/>
                <c:pt idx="0">
                  <c:v>65000</c:v>
                </c:pt>
                <c:pt idx="1">
                  <c:v>1696535.3333333333</c:v>
                </c:pt>
                <c:pt idx="2">
                  <c:v>1862800.4242419964</c:v>
                </c:pt>
                <c:pt idx="3">
                  <c:v>1994138.7238033528</c:v>
                </c:pt>
              </c:numCache>
            </c:numRef>
          </c:val>
          <c:extLst>
            <c:ext xmlns:c16="http://schemas.microsoft.com/office/drawing/2014/chart" uri="{C3380CC4-5D6E-409C-BE32-E72D297353CC}">
              <c16:uniqueId val="{00000001-A27F-4134-A4B4-B9A0B969637D}"/>
            </c:ext>
          </c:extLst>
        </c:ser>
        <c:ser>
          <c:idx val="2"/>
          <c:order val="2"/>
          <c:tx>
            <c:strRef>
              <c:f>Summary!$K$8</c:f>
              <c:strCache>
                <c:ptCount val="1"/>
                <c:pt idx="0">
                  <c:v>Net profit</c:v>
                </c:pt>
              </c:strCache>
            </c:strRef>
          </c:tx>
          <c:spPr>
            <a:solidFill>
              <a:srgbClr val="087F8C"/>
            </a:solidFill>
            <a:ln>
              <a:solidFill>
                <a:srgbClr val="087F8C"/>
              </a:solidFill>
              <a:prstDash val="solid"/>
            </a:ln>
          </c:spPr>
          <c:invertIfNegative val="0"/>
          <c:cat>
            <c:strRef>
              <c:f>Summary!$L$5:$O$5</c:f>
              <c:strCache>
                <c:ptCount val="4"/>
                <c:pt idx="0">
                  <c:v>Before opening</c:v>
                </c:pt>
                <c:pt idx="1">
                  <c:v>Year 1</c:v>
                </c:pt>
                <c:pt idx="2">
                  <c:v>Year 2</c:v>
                </c:pt>
                <c:pt idx="3">
                  <c:v>Year 3</c:v>
                </c:pt>
              </c:strCache>
            </c:strRef>
          </c:cat>
          <c:val>
            <c:numRef>
              <c:f>Summary!$L$8:$O$8</c:f>
              <c:numCache>
                <c:formatCode>#,##0</c:formatCode>
                <c:ptCount val="4"/>
                <c:pt idx="0">
                  <c:v>-65000</c:v>
                </c:pt>
                <c:pt idx="1">
                  <c:v>32464.666666666672</c:v>
                </c:pt>
                <c:pt idx="2">
                  <c:v>199568.57575800322</c:v>
                </c:pt>
                <c:pt idx="3">
                  <c:v>360666.74319664738</c:v>
                </c:pt>
              </c:numCache>
            </c:numRef>
          </c:val>
          <c:extLst>
            <c:ext xmlns:c16="http://schemas.microsoft.com/office/drawing/2014/chart" uri="{C3380CC4-5D6E-409C-BE32-E72D297353CC}">
              <c16:uniqueId val="{00000002-A27F-4134-A4B4-B9A0B969637D}"/>
            </c:ext>
          </c:extLst>
        </c:ser>
        <c:dLbls>
          <c:showLegendKey val="0"/>
          <c:showVal val="0"/>
          <c:showCatName val="0"/>
          <c:showSerName val="0"/>
          <c:showPercent val="0"/>
          <c:showBubbleSize val="0"/>
        </c:dLbls>
        <c:gapWidth val="60"/>
        <c:overlap val="-10"/>
        <c:axId val="10"/>
        <c:axId val="100"/>
      </c:barChart>
      <c:catAx>
        <c:axId val="10"/>
        <c:scaling>
          <c:orientation val="minMax"/>
        </c:scaling>
        <c:delete val="0"/>
        <c:axPos val="b"/>
        <c:numFmt formatCode="General" sourceLinked="1"/>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E9ECF1"/>
              </a:solidFill>
              <a:prstDash val="solid"/>
            </a:ln>
          </c:spPr>
        </c:majorGridlines>
        <c:numFmt formatCode="#,##0" sourceLinked="0"/>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
        <c:crosses val="autoZero"/>
        <c:crossBetween val="between"/>
      </c:valAx>
    </c:plotArea>
    <c:legend>
      <c:legendPos val="b"/>
      <c:overlay val="1"/>
      <c:txPr>
        <a:bodyPr/>
        <a:lstStyle/>
        <a:p>
          <a:pPr>
            <a:defRPr sz="900" b="0">
              <a:solidFill>
                <a:srgbClr val="6A727C"/>
              </a:solidFill>
              <a:latin typeface="Arial"/>
              <a:cs typeface="Arial"/>
            </a:defRPr>
          </a:pPr>
          <a:endParaRPr lang="en-US"/>
        </a:p>
      </c:txPr>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Summary!$K$9</c:f>
              <c:strCache>
                <c:ptCount val="1"/>
                <c:pt idx="0">
                  <c:v>Cash at the end</c:v>
                </c:pt>
              </c:strCache>
            </c:strRef>
          </c:tx>
          <c:spPr>
            <a:solidFill>
              <a:srgbClr val="1F4E84"/>
            </a:solidFill>
            <a:ln>
              <a:solidFill>
                <a:srgbClr val="1F4E84"/>
              </a:solidFill>
              <a:prstDash val="solid"/>
            </a:ln>
          </c:spPr>
          <c:invertIfNegative val="0"/>
          <c:cat>
            <c:strRef>
              <c:f>Summary!$L$5:$O$5</c:f>
              <c:strCache>
                <c:ptCount val="4"/>
                <c:pt idx="0">
                  <c:v>Before opening</c:v>
                </c:pt>
                <c:pt idx="1">
                  <c:v>Year 1</c:v>
                </c:pt>
                <c:pt idx="2">
                  <c:v>Year 2</c:v>
                </c:pt>
                <c:pt idx="3">
                  <c:v>Year 3</c:v>
                </c:pt>
              </c:strCache>
            </c:strRef>
          </c:cat>
          <c:val>
            <c:numRef>
              <c:f>Summary!$L$9:$O$9</c:f>
              <c:numCache>
                <c:formatCode>#,##0</c:formatCode>
                <c:ptCount val="4"/>
                <c:pt idx="0">
                  <c:v>92000</c:v>
                </c:pt>
                <c:pt idx="1">
                  <c:v>178246.900056921</c:v>
                </c:pt>
                <c:pt idx="2">
                  <c:v>421780.81436041713</c:v>
                </c:pt>
                <c:pt idx="3">
                  <c:v>822580.20687980414</c:v>
                </c:pt>
              </c:numCache>
            </c:numRef>
          </c:val>
          <c:extLst>
            <c:ext xmlns:c16="http://schemas.microsoft.com/office/drawing/2014/chart" uri="{C3380CC4-5D6E-409C-BE32-E72D297353CC}">
              <c16:uniqueId val="{00000000-DE7B-4E40-AFE3-C3CF230BD716}"/>
            </c:ext>
          </c:extLst>
        </c:ser>
        <c:dLbls>
          <c:showLegendKey val="0"/>
          <c:showVal val="0"/>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0"/>
        <c:crosses val="autoZero"/>
        <c:auto val="1"/>
        <c:lblAlgn val="ctr"/>
        <c:lblOffset val="100"/>
        <c:noMultiLvlLbl val="1"/>
      </c:catAx>
      <c:valAx>
        <c:axId val="100"/>
        <c:scaling>
          <c:orientation val="minMax"/>
        </c:scaling>
        <c:delete val="0"/>
        <c:axPos val="l"/>
        <c:majorGridlines>
          <c:spPr>
            <a:ln>
              <a:solidFill>
                <a:srgbClr val="E9ECF1"/>
              </a:solidFill>
              <a:prstDash val="solid"/>
            </a:ln>
          </c:spPr>
        </c:majorGridlines>
        <c:numFmt formatCode="#,##0" sourceLinked="0"/>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1"/>
        <c:ser>
          <c:idx val="0"/>
          <c:order val="0"/>
          <c:tx>
            <c:strRef>
              <c:f>'Break-even'!$C$16</c:f>
              <c:strCache>
                <c:ptCount val="1"/>
                <c:pt idx="0">
                  <c:v>Sales</c:v>
                </c:pt>
              </c:strCache>
            </c:strRef>
          </c:tx>
          <c:spPr>
            <a:ln w="28575">
              <a:solidFill>
                <a:srgbClr val="4071BA"/>
              </a:solidFill>
              <a:prstDash val="solid"/>
            </a:ln>
          </c:spPr>
          <c:marker>
            <c:symbol val="none"/>
          </c:marker>
          <c:xVal>
            <c:numRef>
              <c:f>'Break-even'!$C$17:$C$27</c:f>
              <c:numCache>
                <c:formatCode>#,##0;\(#,##0\);"–"</c:formatCode>
                <c:ptCount val="11"/>
                <c:pt idx="0">
                  <c:v>0</c:v>
                </c:pt>
                <c:pt idx="1">
                  <c:v>345800</c:v>
                </c:pt>
                <c:pt idx="2">
                  <c:v>691600</c:v>
                </c:pt>
                <c:pt idx="3">
                  <c:v>1037400.0000000001</c:v>
                </c:pt>
                <c:pt idx="4">
                  <c:v>1383200</c:v>
                </c:pt>
                <c:pt idx="5">
                  <c:v>1729000</c:v>
                </c:pt>
                <c:pt idx="6">
                  <c:v>2074800</c:v>
                </c:pt>
                <c:pt idx="7">
                  <c:v>2420600</c:v>
                </c:pt>
                <c:pt idx="8">
                  <c:v>2766400</c:v>
                </c:pt>
                <c:pt idx="9">
                  <c:v>3112200</c:v>
                </c:pt>
                <c:pt idx="10">
                  <c:v>3458000</c:v>
                </c:pt>
              </c:numCache>
            </c:numRef>
          </c:xVal>
          <c:yVal>
            <c:numRef>
              <c:f>'Break-even'!$C$17:$C$27</c:f>
              <c:numCache>
                <c:formatCode>#,##0;\(#,##0\);"–"</c:formatCode>
                <c:ptCount val="11"/>
                <c:pt idx="0">
                  <c:v>0</c:v>
                </c:pt>
                <c:pt idx="1">
                  <c:v>345800</c:v>
                </c:pt>
                <c:pt idx="2">
                  <c:v>691600</c:v>
                </c:pt>
                <c:pt idx="3">
                  <c:v>1037400.0000000001</c:v>
                </c:pt>
                <c:pt idx="4">
                  <c:v>1383200</c:v>
                </c:pt>
                <c:pt idx="5">
                  <c:v>1729000</c:v>
                </c:pt>
                <c:pt idx="6">
                  <c:v>2074800</c:v>
                </c:pt>
                <c:pt idx="7">
                  <c:v>2420600</c:v>
                </c:pt>
                <c:pt idx="8">
                  <c:v>2766400</c:v>
                </c:pt>
                <c:pt idx="9">
                  <c:v>3112200</c:v>
                </c:pt>
                <c:pt idx="10">
                  <c:v>3458000</c:v>
                </c:pt>
              </c:numCache>
            </c:numRef>
          </c:yVal>
          <c:smooth val="0"/>
          <c:extLst>
            <c:ext xmlns:c16="http://schemas.microsoft.com/office/drawing/2014/chart" uri="{C3380CC4-5D6E-409C-BE32-E72D297353CC}">
              <c16:uniqueId val="{00000000-57D0-4AF5-B11A-F37838989EA6}"/>
            </c:ext>
          </c:extLst>
        </c:ser>
        <c:ser>
          <c:idx val="1"/>
          <c:order val="1"/>
          <c:tx>
            <c:strRef>
              <c:f>'Break-even'!$D$16</c:f>
              <c:strCache>
                <c:ptCount val="1"/>
                <c:pt idx="0">
                  <c:v>Total costs</c:v>
                </c:pt>
              </c:strCache>
            </c:strRef>
          </c:tx>
          <c:spPr>
            <a:ln w="28575">
              <a:solidFill>
                <a:srgbClr val="C52020"/>
              </a:solidFill>
              <a:prstDash val="solid"/>
            </a:ln>
          </c:spPr>
          <c:marker>
            <c:symbol val="none"/>
          </c:marker>
          <c:xVal>
            <c:numRef>
              <c:f>'Break-even'!$C$17:$C$27</c:f>
              <c:numCache>
                <c:formatCode>#,##0;\(#,##0\);"–"</c:formatCode>
                <c:ptCount val="11"/>
                <c:pt idx="0">
                  <c:v>0</c:v>
                </c:pt>
                <c:pt idx="1">
                  <c:v>345800</c:v>
                </c:pt>
                <c:pt idx="2">
                  <c:v>691600</c:v>
                </c:pt>
                <c:pt idx="3">
                  <c:v>1037400.0000000001</c:v>
                </c:pt>
                <c:pt idx="4">
                  <c:v>1383200</c:v>
                </c:pt>
                <c:pt idx="5">
                  <c:v>1729000</c:v>
                </c:pt>
                <c:pt idx="6">
                  <c:v>2074800</c:v>
                </c:pt>
                <c:pt idx="7">
                  <c:v>2420600</c:v>
                </c:pt>
                <c:pt idx="8">
                  <c:v>2766400</c:v>
                </c:pt>
                <c:pt idx="9">
                  <c:v>3112200</c:v>
                </c:pt>
                <c:pt idx="10">
                  <c:v>3458000</c:v>
                </c:pt>
              </c:numCache>
            </c:numRef>
          </c:xVal>
          <c:yVal>
            <c:numRef>
              <c:f>'Break-even'!$D$17:$D$27</c:f>
              <c:numCache>
                <c:formatCode>#,##0;\(#,##0\);"–"</c:formatCode>
                <c:ptCount val="11"/>
                <c:pt idx="0">
                  <c:v>1085375.3333333333</c:v>
                </c:pt>
                <c:pt idx="1">
                  <c:v>1207607.3333333333</c:v>
                </c:pt>
                <c:pt idx="2">
                  <c:v>1329839.3333333333</c:v>
                </c:pt>
                <c:pt idx="3">
                  <c:v>1452071.3333333333</c:v>
                </c:pt>
                <c:pt idx="4">
                  <c:v>1574303.3333333333</c:v>
                </c:pt>
                <c:pt idx="5">
                  <c:v>1696535.3333333333</c:v>
                </c:pt>
                <c:pt idx="6">
                  <c:v>1818767.3333333333</c:v>
                </c:pt>
                <c:pt idx="7">
                  <c:v>1940999.3333333333</c:v>
                </c:pt>
                <c:pt idx="8">
                  <c:v>2063231.3333333333</c:v>
                </c:pt>
                <c:pt idx="9">
                  <c:v>2185463.333333333</c:v>
                </c:pt>
                <c:pt idx="10">
                  <c:v>2307695.333333333</c:v>
                </c:pt>
              </c:numCache>
            </c:numRef>
          </c:yVal>
          <c:smooth val="0"/>
          <c:extLst>
            <c:ext xmlns:c16="http://schemas.microsoft.com/office/drawing/2014/chart" uri="{C3380CC4-5D6E-409C-BE32-E72D297353CC}">
              <c16:uniqueId val="{00000001-57D0-4AF5-B11A-F37838989EA6}"/>
            </c:ext>
          </c:extLst>
        </c:ser>
        <c:ser>
          <c:idx val="2"/>
          <c:order val="2"/>
          <c:tx>
            <c:strRef>
              <c:f>'Break-even'!$E$16</c:f>
              <c:strCache>
                <c:ptCount val="1"/>
                <c:pt idx="0">
                  <c:v>Fixed costs</c:v>
                </c:pt>
              </c:strCache>
            </c:strRef>
          </c:tx>
          <c:spPr>
            <a:ln w="28575">
              <a:solidFill>
                <a:srgbClr val="6A727C"/>
              </a:solidFill>
              <a:prstDash val="dash"/>
            </a:ln>
          </c:spPr>
          <c:marker>
            <c:symbol val="none"/>
          </c:marker>
          <c:xVal>
            <c:numRef>
              <c:f>'Break-even'!$C$17:$C$27</c:f>
              <c:numCache>
                <c:formatCode>#,##0;\(#,##0\);"–"</c:formatCode>
                <c:ptCount val="11"/>
                <c:pt idx="0">
                  <c:v>0</c:v>
                </c:pt>
                <c:pt idx="1">
                  <c:v>345800</c:v>
                </c:pt>
                <c:pt idx="2">
                  <c:v>691600</c:v>
                </c:pt>
                <c:pt idx="3">
                  <c:v>1037400.0000000001</c:v>
                </c:pt>
                <c:pt idx="4">
                  <c:v>1383200</c:v>
                </c:pt>
                <c:pt idx="5">
                  <c:v>1729000</c:v>
                </c:pt>
                <c:pt idx="6">
                  <c:v>2074800</c:v>
                </c:pt>
                <c:pt idx="7">
                  <c:v>2420600</c:v>
                </c:pt>
                <c:pt idx="8">
                  <c:v>2766400</c:v>
                </c:pt>
                <c:pt idx="9">
                  <c:v>3112200</c:v>
                </c:pt>
                <c:pt idx="10">
                  <c:v>3458000</c:v>
                </c:pt>
              </c:numCache>
            </c:numRef>
          </c:xVal>
          <c:yVal>
            <c:numRef>
              <c:f>'Break-even'!$E$17:$E$27</c:f>
              <c:numCache>
                <c:formatCode>#,##0;\(#,##0\);"–"</c:formatCode>
                <c:ptCount val="11"/>
                <c:pt idx="0">
                  <c:v>1085375.3333333333</c:v>
                </c:pt>
                <c:pt idx="1">
                  <c:v>1085375.3333333333</c:v>
                </c:pt>
                <c:pt idx="2">
                  <c:v>1085375.3333333333</c:v>
                </c:pt>
                <c:pt idx="3">
                  <c:v>1085375.3333333333</c:v>
                </c:pt>
                <c:pt idx="4">
                  <c:v>1085375.3333333333</c:v>
                </c:pt>
                <c:pt idx="5">
                  <c:v>1085375.3333333333</c:v>
                </c:pt>
                <c:pt idx="6">
                  <c:v>1085375.3333333333</c:v>
                </c:pt>
                <c:pt idx="7">
                  <c:v>1085375.3333333333</c:v>
                </c:pt>
                <c:pt idx="8">
                  <c:v>1085375.3333333333</c:v>
                </c:pt>
                <c:pt idx="9">
                  <c:v>1085375.3333333333</c:v>
                </c:pt>
                <c:pt idx="10">
                  <c:v>1085375.3333333333</c:v>
                </c:pt>
              </c:numCache>
            </c:numRef>
          </c:yVal>
          <c:smooth val="0"/>
          <c:extLst>
            <c:ext xmlns:c16="http://schemas.microsoft.com/office/drawing/2014/chart" uri="{C3380CC4-5D6E-409C-BE32-E72D297353CC}">
              <c16:uniqueId val="{00000002-57D0-4AF5-B11A-F37838989EA6}"/>
            </c:ext>
          </c:extLst>
        </c:ser>
        <c:dLbls>
          <c:showLegendKey val="0"/>
          <c:showVal val="0"/>
          <c:showCatName val="0"/>
          <c:showSerName val="0"/>
          <c:showPercent val="0"/>
          <c:showBubbleSize val="0"/>
        </c:dLbls>
        <c:axId val="10"/>
        <c:axId val="20"/>
      </c:scatterChart>
      <c:valAx>
        <c:axId val="10"/>
        <c:scaling>
          <c:orientation val="minMax"/>
        </c:scaling>
        <c:delete val="0"/>
        <c:axPos val="b"/>
        <c:numFmt formatCode="#,##0" sourceLinked="0"/>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20"/>
        <c:crosses val="autoZero"/>
        <c:crossBetween val="midCat"/>
      </c:valAx>
      <c:valAx>
        <c:axId val="20"/>
        <c:scaling>
          <c:orientation val="minMax"/>
        </c:scaling>
        <c:delete val="0"/>
        <c:axPos val="l"/>
        <c:majorGridlines>
          <c:spPr>
            <a:ln>
              <a:solidFill>
                <a:srgbClr val="E9ECF1"/>
              </a:solidFill>
              <a:prstDash val="solid"/>
            </a:ln>
          </c:spPr>
        </c:majorGridlines>
        <c:numFmt formatCode="#,##0" sourceLinked="0"/>
        <c:majorTickMark val="none"/>
        <c:minorTickMark val="none"/>
        <c:tickLblPos val="nextTo"/>
        <c:spPr>
          <a:ln>
            <a:solidFill>
              <a:srgbClr val="E0E4EB"/>
            </a:solidFill>
            <a:prstDash val="solid"/>
          </a:ln>
        </c:spPr>
        <c:txPr>
          <a:bodyPr/>
          <a:lstStyle/>
          <a:p>
            <a:pPr>
              <a:defRPr sz="900" b="0">
                <a:solidFill>
                  <a:srgbClr val="6A727C"/>
                </a:solidFill>
                <a:latin typeface="Arial"/>
                <a:cs typeface="Arial"/>
              </a:defRPr>
            </a:pPr>
            <a:endParaRPr lang="en-US"/>
          </a:p>
        </c:txPr>
        <c:crossAx val="10"/>
        <c:crosses val="autoZero"/>
        <c:crossBetween val="midCat"/>
      </c:valAx>
    </c:plotArea>
    <c:legend>
      <c:legendPos val="t"/>
      <c:overlay val="1"/>
      <c:txPr>
        <a:bodyPr/>
        <a:lstStyle/>
        <a:p>
          <a:pPr>
            <a:defRPr sz="900" b="0">
              <a:solidFill>
                <a:srgbClr val="6A727C"/>
              </a:solidFill>
              <a:latin typeface="Arial"/>
              <a:cs typeface="Arial"/>
            </a:defRPr>
          </a:pPr>
          <a:endParaRPr lang="en-US"/>
        </a:p>
      </c:txPr>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19100" cy="476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31</xdr:row>
      <xdr:rowOff>0</xdr:rowOff>
    </xdr:from>
    <xdr:ext cx="3708000" cy="2951999"/>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5</xdr:col>
      <xdr:colOff>0</xdr:colOff>
      <xdr:row>31</xdr:row>
      <xdr:rowOff>0</xdr:rowOff>
    </xdr:from>
    <xdr:ext cx="3708000" cy="2951999"/>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6</xdr:col>
      <xdr:colOff>0</xdr:colOff>
      <xdr:row>3</xdr:row>
      <xdr:rowOff>0</xdr:rowOff>
    </xdr:from>
    <xdr:ext cx="6120000" cy="342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training.shogconsulting.com/courses/feasibility-study-foundations?utm_source=excel-template&amp;utm_medium=download&amp;utm_campaign=feasibility-mode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F294D"/>
    <pageSetUpPr fitToPage="1"/>
  </sheetPr>
  <dimension ref="B1:F32"/>
  <sheetViews>
    <sheetView showGridLines="0" tabSelected="1" workbookViewId="0"/>
  </sheetViews>
  <sheetFormatPr defaultRowHeight="14.4" x14ac:dyDescent="0.3"/>
  <cols>
    <col min="1" max="1" width="3" customWidth="1"/>
    <col min="2" max="2" width="8" customWidth="1"/>
    <col min="3" max="3" width="24" customWidth="1"/>
    <col min="4" max="5" width="34" customWidth="1"/>
    <col min="6" max="6" width="22" customWidth="1"/>
  </cols>
  <sheetData>
    <row r="1" spans="2:6" ht="10.050000000000001" customHeight="1" x14ac:dyDescent="0.3"/>
    <row r="2" spans="2:6" ht="42" customHeight="1" x14ac:dyDescent="0.3">
      <c r="C2" s="1" t="s">
        <v>0</v>
      </c>
    </row>
    <row r="3" spans="2:6" ht="6" customHeight="1" x14ac:dyDescent="0.3"/>
    <row r="4" spans="2:6" ht="34.049999999999997" customHeight="1" x14ac:dyDescent="0.3">
      <c r="B4" s="77" t="s">
        <v>1</v>
      </c>
      <c r="C4" s="68"/>
      <c r="D4" s="68"/>
      <c r="E4" s="68"/>
      <c r="F4" s="68"/>
    </row>
    <row r="5" spans="2:6" ht="37.950000000000003" customHeight="1" x14ac:dyDescent="0.3">
      <c r="B5" s="69" t="s">
        <v>2</v>
      </c>
      <c r="C5" s="68"/>
      <c r="D5" s="68"/>
      <c r="E5" s="68"/>
      <c r="F5" s="68"/>
    </row>
    <row r="6" spans="2:6" ht="18" customHeight="1" x14ac:dyDescent="0.3">
      <c r="B6" s="67" t="str">
        <f>"Project: "&amp;ProjectName&amp;"      First year: "&amp;FirstYear</f>
        <v>Project: Neighbourhood café      First year: 2027</v>
      </c>
      <c r="C6" s="68"/>
      <c r="D6" s="68"/>
      <c r="E6" s="68"/>
      <c r="F6" s="68"/>
    </row>
    <row r="7" spans="2:6" ht="10.050000000000001" customHeight="1" x14ac:dyDescent="0.3"/>
    <row r="8" spans="2:6" ht="22.05" customHeight="1" x14ac:dyDescent="0.3">
      <c r="B8" s="78" t="s">
        <v>3</v>
      </c>
      <c r="C8" s="79"/>
      <c r="D8" s="79"/>
      <c r="E8" s="79"/>
      <c r="F8" s="79"/>
    </row>
    <row r="9" spans="2:6" ht="22.05" customHeight="1" x14ac:dyDescent="0.3">
      <c r="B9" s="2">
        <v>1</v>
      </c>
      <c r="C9" s="3" t="s">
        <v>4</v>
      </c>
      <c r="D9" s="73" t="s">
        <v>5</v>
      </c>
      <c r="E9" s="74"/>
      <c r="F9" s="74"/>
    </row>
    <row r="10" spans="2:6" ht="36" customHeight="1" x14ac:dyDescent="0.3">
      <c r="B10" s="2">
        <v>2</v>
      </c>
      <c r="C10" s="3" t="s">
        <v>6</v>
      </c>
      <c r="D10" s="73" t="s">
        <v>7</v>
      </c>
      <c r="E10" s="74"/>
      <c r="F10" s="74"/>
    </row>
    <row r="11" spans="2:6" ht="22.05" customHeight="1" x14ac:dyDescent="0.3">
      <c r="B11" s="2">
        <v>3</v>
      </c>
      <c r="C11" s="3" t="s">
        <v>8</v>
      </c>
      <c r="D11" s="73" t="s">
        <v>9</v>
      </c>
      <c r="E11" s="74"/>
      <c r="F11" s="74"/>
    </row>
    <row r="12" spans="2:6" ht="22.05" customHeight="1" x14ac:dyDescent="0.3">
      <c r="B12" s="2">
        <v>4</v>
      </c>
      <c r="C12" s="3" t="s">
        <v>10</v>
      </c>
      <c r="D12" s="73" t="s">
        <v>11</v>
      </c>
      <c r="E12" s="74"/>
      <c r="F12" s="74"/>
    </row>
    <row r="13" spans="2:6" ht="22.05" customHeight="1" x14ac:dyDescent="0.3">
      <c r="B13" s="2">
        <v>5</v>
      </c>
      <c r="C13" s="3" t="s">
        <v>12</v>
      </c>
      <c r="D13" s="73" t="s">
        <v>13</v>
      </c>
      <c r="E13" s="74"/>
      <c r="F13" s="74"/>
    </row>
    <row r="14" spans="2:6" ht="22.05" customHeight="1" x14ac:dyDescent="0.3">
      <c r="B14" s="2">
        <v>6</v>
      </c>
      <c r="C14" s="3" t="s">
        <v>14</v>
      </c>
      <c r="D14" s="73" t="s">
        <v>15</v>
      </c>
      <c r="E14" s="74"/>
      <c r="F14" s="74"/>
    </row>
    <row r="15" spans="2:6" ht="12" customHeight="1" x14ac:dyDescent="0.3"/>
    <row r="16" spans="2:6" ht="22.05" customHeight="1" x14ac:dyDescent="0.3">
      <c r="B16" s="78" t="s">
        <v>16</v>
      </c>
      <c r="C16" s="79"/>
      <c r="D16" s="79"/>
      <c r="E16" s="79"/>
      <c r="F16" s="79"/>
    </row>
    <row r="17" spans="2:6" ht="19.95" customHeight="1" x14ac:dyDescent="0.3">
      <c r="C17" s="4" t="s">
        <v>17</v>
      </c>
      <c r="D17" s="5" t="s">
        <v>18</v>
      </c>
    </row>
    <row r="18" spans="2:6" ht="19.95" customHeight="1" x14ac:dyDescent="0.3">
      <c r="C18" s="6" t="s">
        <v>17</v>
      </c>
      <c r="D18" s="5" t="s">
        <v>19</v>
      </c>
    </row>
    <row r="19" spans="2:6" ht="19.95" customHeight="1" x14ac:dyDescent="0.3">
      <c r="C19" s="7" t="s">
        <v>17</v>
      </c>
      <c r="D19" s="5" t="s">
        <v>20</v>
      </c>
    </row>
    <row r="20" spans="2:6" ht="19.95" customHeight="1" x14ac:dyDescent="0.3">
      <c r="C20" s="8" t="s">
        <v>21</v>
      </c>
      <c r="D20" s="5" t="s">
        <v>22</v>
      </c>
    </row>
    <row r="21" spans="2:6" ht="12" customHeight="1" x14ac:dyDescent="0.3"/>
    <row r="22" spans="2:6" ht="22.05" customHeight="1" x14ac:dyDescent="0.3">
      <c r="B22" s="78" t="s">
        <v>23</v>
      </c>
      <c r="C22" s="79"/>
      <c r="D22" s="79"/>
      <c r="E22" s="79"/>
      <c r="F22" s="79"/>
    </row>
    <row r="23" spans="2:6" ht="22.05" customHeight="1" x14ac:dyDescent="0.3">
      <c r="B23" s="9" t="s">
        <v>24</v>
      </c>
      <c r="C23" s="71" t="s">
        <v>25</v>
      </c>
      <c r="D23" s="68"/>
      <c r="E23" s="68"/>
      <c r="F23" s="68"/>
    </row>
    <row r="24" spans="2:6" ht="36" customHeight="1" x14ac:dyDescent="0.3">
      <c r="B24" s="9" t="s">
        <v>24</v>
      </c>
      <c r="C24" s="71" t="s">
        <v>26</v>
      </c>
      <c r="D24" s="68"/>
      <c r="E24" s="68"/>
      <c r="F24" s="68"/>
    </row>
    <row r="25" spans="2:6" ht="22.05" customHeight="1" x14ac:dyDescent="0.3">
      <c r="B25" s="9" t="s">
        <v>24</v>
      </c>
      <c r="C25" s="71" t="s">
        <v>27</v>
      </c>
      <c r="D25" s="68"/>
      <c r="E25" s="68"/>
      <c r="F25" s="68"/>
    </row>
    <row r="26" spans="2:6" ht="36" customHeight="1" x14ac:dyDescent="0.3">
      <c r="B26" s="9" t="s">
        <v>24</v>
      </c>
      <c r="C26" s="71" t="s">
        <v>28</v>
      </c>
      <c r="D26" s="68"/>
      <c r="E26" s="68"/>
      <c r="F26" s="68"/>
    </row>
    <row r="27" spans="2:6" ht="12" customHeight="1" x14ac:dyDescent="0.3"/>
    <row r="28" spans="2:6" ht="22.05" customHeight="1" x14ac:dyDescent="0.3">
      <c r="B28" s="75" t="s">
        <v>29</v>
      </c>
      <c r="C28" s="76"/>
      <c r="D28" s="76"/>
      <c r="E28" s="76"/>
      <c r="F28" s="76"/>
    </row>
    <row r="29" spans="2:6" ht="49.95" customHeight="1" x14ac:dyDescent="0.3">
      <c r="B29" s="72" t="s">
        <v>30</v>
      </c>
      <c r="C29" s="66"/>
      <c r="D29" s="66"/>
      <c r="E29" s="66"/>
      <c r="F29" s="66"/>
    </row>
    <row r="30" spans="2:6" ht="24" customHeight="1" x14ac:dyDescent="0.3">
      <c r="B30" s="65" t="s">
        <v>31</v>
      </c>
      <c r="C30" s="66"/>
      <c r="D30" s="66"/>
      <c r="E30" s="66"/>
      <c r="F30" s="66"/>
    </row>
    <row r="31" spans="2:6" ht="12" customHeight="1" x14ac:dyDescent="0.3"/>
    <row r="32" spans="2:6" ht="31.95" customHeight="1" x14ac:dyDescent="0.3">
      <c r="B32" s="70" t="s">
        <v>32</v>
      </c>
      <c r="C32" s="68"/>
      <c r="D32" s="68"/>
      <c r="E32" s="68"/>
      <c r="F32" s="68"/>
    </row>
  </sheetData>
  <mergeCells count="20">
    <mergeCell ref="B4:F4"/>
    <mergeCell ref="D11:F11"/>
    <mergeCell ref="D13:F13"/>
    <mergeCell ref="C23:F23"/>
    <mergeCell ref="B16:F16"/>
    <mergeCell ref="B22:F22"/>
    <mergeCell ref="D12:F12"/>
    <mergeCell ref="D9:F9"/>
    <mergeCell ref="B8:F8"/>
    <mergeCell ref="D10:F10"/>
    <mergeCell ref="B30:F30"/>
    <mergeCell ref="B6:F6"/>
    <mergeCell ref="B5:F5"/>
    <mergeCell ref="B32:F32"/>
    <mergeCell ref="C24:F24"/>
    <mergeCell ref="B29:F29"/>
    <mergeCell ref="D14:F14"/>
    <mergeCell ref="C26:F26"/>
    <mergeCell ref="B28:F28"/>
    <mergeCell ref="C25:F25"/>
  </mergeCells>
  <hyperlinks>
    <hyperlink ref="C9" location="'Inputs'!A1" tooltip="Go to Inputs" display="Inputs" xr:uid="{00000000-0004-0000-0000-000000000000}"/>
    <hyperlink ref="C10" location="'Summary'!A1" tooltip="Go to Summary" display="Summary" xr:uid="{00000000-0004-0000-0000-000001000000}"/>
    <hyperlink ref="C11" location="'Projections'!A1" tooltip="Go to Projections" display="Projections" xr:uid="{00000000-0004-0000-0000-000002000000}"/>
    <hyperlink ref="C12" location="'Cash Flow'!A1" tooltip="Go to Cash Flow" display="Cash Flow" xr:uid="{00000000-0004-0000-0000-000003000000}"/>
    <hyperlink ref="C13" location="'Break-even'!A1" tooltip="Go to Break-even" display="Break-even" xr:uid="{00000000-0004-0000-0000-000004000000}"/>
    <hyperlink ref="C14" location="'Sensitivity'!A1" tooltip="Go to Sensitivity" display="Sensitivity" xr:uid="{00000000-0004-0000-0000-000005000000}"/>
    <hyperlink ref="B30" r:id="rId1" xr:uid="{00000000-0004-0000-0000-000006000000}"/>
  </hyperlinks>
  <printOptions horizontalCentered="1"/>
  <pageMargins left="0.4" right="0.4" top="0.5" bottom="0.5" header="0.25" footer="0.25"/>
  <pageSetup paperSize="9" orientation="portrait"/>
  <headerFooter>
    <oddFooter>&amp;L&amp;7 &amp;K6A727CTemplate: Shog Corporate Training · training.shogconsulting.com&amp;R&amp;7 &amp;K6A727CPage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49E25"/>
    <pageSetUpPr fitToPage="1"/>
  </sheetPr>
  <dimension ref="A1:I85"/>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46" customWidth="1"/>
    <col min="3" max="8" width="16" customWidth="1"/>
    <col min="9" max="9" width="40" customWidth="1"/>
  </cols>
  <sheetData>
    <row r="1" spans="1:9" ht="30" customHeight="1" x14ac:dyDescent="0.3">
      <c r="A1" s="10" t="s">
        <v>4</v>
      </c>
    </row>
    <row r="2" spans="1:9" ht="19.95" customHeight="1" x14ac:dyDescent="0.3">
      <c r="A2" s="11" t="s">
        <v>33</v>
      </c>
      <c r="B2" s="12"/>
      <c r="C2" s="12"/>
      <c r="D2" s="12"/>
      <c r="E2" s="12"/>
      <c r="F2" s="12"/>
      <c r="G2" s="12"/>
      <c r="H2" s="12"/>
      <c r="I2" s="12"/>
    </row>
    <row r="3" spans="1:9" ht="18" customHeight="1" x14ac:dyDescent="0.3">
      <c r="A3" s="88" t="s">
        <v>34</v>
      </c>
      <c r="B3" s="68"/>
      <c r="C3" s="68"/>
      <c r="D3" s="68"/>
      <c r="E3" s="68"/>
      <c r="F3" s="68"/>
      <c r="G3" s="68"/>
      <c r="H3" s="68"/>
      <c r="I3" s="68"/>
    </row>
    <row r="5" spans="1:9" ht="22.05" customHeight="1" x14ac:dyDescent="0.3">
      <c r="B5" s="78" t="s">
        <v>35</v>
      </c>
      <c r="C5" s="79"/>
      <c r="D5" s="79"/>
      <c r="E5" s="79"/>
      <c r="F5" s="79"/>
      <c r="G5" s="79"/>
      <c r="H5" s="79"/>
      <c r="I5" s="79"/>
    </row>
    <row r="6" spans="1:9" ht="18" customHeight="1" x14ac:dyDescent="0.3">
      <c r="B6" s="13" t="s">
        <v>36</v>
      </c>
      <c r="C6" s="87" t="s">
        <v>37</v>
      </c>
      <c r="D6" s="82"/>
      <c r="E6" s="82"/>
      <c r="F6" s="82"/>
    </row>
    <row r="7" spans="1:9" ht="18" customHeight="1" x14ac:dyDescent="0.3">
      <c r="B7" s="13" t="s">
        <v>38</v>
      </c>
      <c r="C7" s="87" t="s">
        <v>39</v>
      </c>
      <c r="D7" s="82"/>
      <c r="E7" s="82"/>
      <c r="F7" s="82"/>
    </row>
    <row r="8" spans="1:9" ht="18" customHeight="1" x14ac:dyDescent="0.3">
      <c r="B8" s="13" t="s">
        <v>40</v>
      </c>
      <c r="C8" s="14" t="s">
        <v>41</v>
      </c>
    </row>
    <row r="9" spans="1:9" ht="18" customHeight="1" x14ac:dyDescent="0.3">
      <c r="B9" s="13" t="s">
        <v>42</v>
      </c>
      <c r="C9" s="15">
        <v>2027</v>
      </c>
    </row>
    <row r="11" spans="1:9" ht="22.05" customHeight="1" x14ac:dyDescent="0.3">
      <c r="B11" s="78" t="s">
        <v>43</v>
      </c>
      <c r="C11" s="79"/>
      <c r="D11" s="79"/>
      <c r="E11" s="79"/>
      <c r="F11" s="79"/>
      <c r="G11" s="79"/>
      <c r="H11" s="79"/>
      <c r="I11" s="79"/>
    </row>
    <row r="12" spans="1:9" ht="31.95" customHeight="1" x14ac:dyDescent="0.3">
      <c r="B12" s="16" t="s">
        <v>44</v>
      </c>
      <c r="C12" s="16" t="s">
        <v>45</v>
      </c>
      <c r="D12" s="16" t="s">
        <v>46</v>
      </c>
      <c r="E12" s="16" t="s">
        <v>47</v>
      </c>
      <c r="F12" s="16" t="s">
        <v>48</v>
      </c>
      <c r="G12" s="16" t="s">
        <v>49</v>
      </c>
      <c r="H12" s="16" t="s">
        <v>50</v>
      </c>
      <c r="I12" s="16" t="s">
        <v>51</v>
      </c>
    </row>
    <row r="13" spans="1:9" ht="18" customHeight="1" x14ac:dyDescent="0.3">
      <c r="B13" s="14" t="s">
        <v>52</v>
      </c>
      <c r="C13" s="14" t="s">
        <v>53</v>
      </c>
      <c r="D13" s="17">
        <v>18</v>
      </c>
      <c r="E13" s="18">
        <v>54000</v>
      </c>
      <c r="F13" s="19">
        <v>0.15</v>
      </c>
      <c r="G13" s="19">
        <v>0.1</v>
      </c>
      <c r="H13" s="17">
        <v>4.5</v>
      </c>
      <c r="I13" s="20" t="s">
        <v>54</v>
      </c>
    </row>
    <row r="14" spans="1:9" ht="18" customHeight="1" x14ac:dyDescent="0.3">
      <c r="B14" s="14" t="s">
        <v>55</v>
      </c>
      <c r="C14" s="14" t="s">
        <v>56</v>
      </c>
      <c r="D14" s="17">
        <v>22</v>
      </c>
      <c r="E14" s="18">
        <v>25000</v>
      </c>
      <c r="F14" s="19">
        <v>0.15</v>
      </c>
      <c r="G14" s="19">
        <v>0.1</v>
      </c>
      <c r="H14" s="17">
        <v>8</v>
      </c>
      <c r="I14" s="20" t="s">
        <v>57</v>
      </c>
    </row>
    <row r="15" spans="1:9" ht="18" customHeight="1" x14ac:dyDescent="0.3">
      <c r="B15" s="14" t="s">
        <v>58</v>
      </c>
      <c r="C15" s="14" t="s">
        <v>59</v>
      </c>
      <c r="D15" s="17">
        <v>75</v>
      </c>
      <c r="E15" s="18">
        <v>1800</v>
      </c>
      <c r="F15" s="19">
        <v>0.2</v>
      </c>
      <c r="G15" s="19">
        <v>0.15</v>
      </c>
      <c r="H15" s="17">
        <v>35</v>
      </c>
      <c r="I15" s="20" t="s">
        <v>60</v>
      </c>
    </row>
    <row r="16" spans="1:9" ht="18" customHeight="1" x14ac:dyDescent="0.3">
      <c r="B16" s="14" t="s">
        <v>61</v>
      </c>
      <c r="C16" s="14" t="s">
        <v>62</v>
      </c>
      <c r="D16" s="17">
        <v>1200</v>
      </c>
      <c r="E16" s="18">
        <v>60</v>
      </c>
      <c r="F16" s="19">
        <v>0.25</v>
      </c>
      <c r="G16" s="19">
        <v>0.2</v>
      </c>
      <c r="H16" s="17">
        <v>600</v>
      </c>
      <c r="I16" s="20" t="s">
        <v>63</v>
      </c>
    </row>
    <row r="17" spans="2:9" ht="18" customHeight="1" x14ac:dyDescent="0.3">
      <c r="B17" s="14"/>
      <c r="C17" s="14"/>
      <c r="D17" s="17"/>
      <c r="E17" s="18"/>
      <c r="F17" s="19"/>
      <c r="G17" s="19"/>
      <c r="H17" s="17"/>
      <c r="I17" s="20"/>
    </row>
    <row r="19" spans="2:9" x14ac:dyDescent="0.3">
      <c r="B19" s="13" t="s">
        <v>64</v>
      </c>
      <c r="C19" s="19">
        <v>0.03</v>
      </c>
    </row>
    <row r="20" spans="2:9" x14ac:dyDescent="0.3">
      <c r="B20" s="13" t="s">
        <v>65</v>
      </c>
      <c r="C20" s="19">
        <v>0.03</v>
      </c>
    </row>
    <row r="21" spans="2:9" x14ac:dyDescent="0.3">
      <c r="B21" s="13" t="s">
        <v>66</v>
      </c>
      <c r="C21" s="19">
        <v>0.04</v>
      </c>
      <c r="D21" s="83" t="s">
        <v>67</v>
      </c>
      <c r="E21" s="68"/>
      <c r="F21" s="68"/>
      <c r="G21" s="68"/>
      <c r="H21" s="68"/>
      <c r="I21" s="68"/>
    </row>
    <row r="23" spans="2:9" ht="22.05" customHeight="1" x14ac:dyDescent="0.3">
      <c r="B23" s="78" t="s">
        <v>68</v>
      </c>
      <c r="C23" s="79"/>
      <c r="D23" s="79"/>
      <c r="E23" s="79"/>
      <c r="F23" s="79"/>
      <c r="G23" s="79"/>
      <c r="H23" s="79"/>
      <c r="I23" s="79"/>
    </row>
    <row r="24" spans="2:9" ht="31.95" customHeight="1" x14ac:dyDescent="0.3">
      <c r="B24" s="16" t="s">
        <v>69</v>
      </c>
      <c r="C24" s="16" t="s">
        <v>70</v>
      </c>
      <c r="D24" s="16" t="s">
        <v>71</v>
      </c>
      <c r="E24" s="16" t="s">
        <v>72</v>
      </c>
      <c r="F24" s="16" t="s">
        <v>73</v>
      </c>
      <c r="G24" s="84" t="s">
        <v>51</v>
      </c>
      <c r="H24" s="85"/>
      <c r="I24" s="86"/>
    </row>
    <row r="25" spans="2:9" ht="18" customHeight="1" x14ac:dyDescent="0.3">
      <c r="B25" s="14" t="s">
        <v>74</v>
      </c>
      <c r="C25" s="18">
        <v>12000</v>
      </c>
      <c r="D25" s="18">
        <v>1</v>
      </c>
      <c r="E25" s="18">
        <v>1</v>
      </c>
      <c r="F25" s="18">
        <v>1</v>
      </c>
      <c r="G25" s="81" t="s">
        <v>75</v>
      </c>
      <c r="H25" s="82"/>
      <c r="I25" s="82"/>
    </row>
    <row r="26" spans="2:9" ht="18" customHeight="1" x14ac:dyDescent="0.3">
      <c r="B26" s="14" t="s">
        <v>76</v>
      </c>
      <c r="C26" s="18">
        <v>4500</v>
      </c>
      <c r="D26" s="18">
        <v>3</v>
      </c>
      <c r="E26" s="18">
        <v>4</v>
      </c>
      <c r="F26" s="18">
        <v>4</v>
      </c>
      <c r="G26" s="81" t="s">
        <v>77</v>
      </c>
      <c r="H26" s="82"/>
      <c r="I26" s="82"/>
    </row>
    <row r="27" spans="2:9" ht="18" customHeight="1" x14ac:dyDescent="0.3">
      <c r="B27" s="14" t="s">
        <v>78</v>
      </c>
      <c r="C27" s="18">
        <v>3800</v>
      </c>
      <c r="D27" s="18">
        <v>2</v>
      </c>
      <c r="E27" s="18">
        <v>2</v>
      </c>
      <c r="F27" s="18">
        <v>2</v>
      </c>
      <c r="G27" s="81"/>
      <c r="H27" s="82"/>
      <c r="I27" s="82"/>
    </row>
    <row r="28" spans="2:9" ht="18" customHeight="1" x14ac:dyDescent="0.3">
      <c r="B28" s="14" t="s">
        <v>79</v>
      </c>
      <c r="C28" s="18">
        <v>3500</v>
      </c>
      <c r="D28" s="18">
        <v>2</v>
      </c>
      <c r="E28" s="18">
        <v>2</v>
      </c>
      <c r="F28" s="18">
        <v>2</v>
      </c>
      <c r="G28" s="81"/>
      <c r="H28" s="82"/>
      <c r="I28" s="82"/>
    </row>
    <row r="29" spans="2:9" ht="18" customHeight="1" x14ac:dyDescent="0.3">
      <c r="B29" s="14"/>
      <c r="C29" s="18"/>
      <c r="D29" s="18"/>
      <c r="E29" s="18"/>
      <c r="F29" s="18"/>
      <c r="G29" s="81"/>
      <c r="H29" s="82"/>
      <c r="I29" s="82"/>
    </row>
    <row r="30" spans="2:9" ht="18" customHeight="1" x14ac:dyDescent="0.3">
      <c r="B30" s="14"/>
      <c r="C30" s="18"/>
      <c r="D30" s="18"/>
      <c r="E30" s="18"/>
      <c r="F30" s="18"/>
      <c r="G30" s="81"/>
      <c r="H30" s="82"/>
      <c r="I30" s="82"/>
    </row>
    <row r="31" spans="2:9" ht="18" customHeight="1" x14ac:dyDescent="0.3">
      <c r="B31" s="14"/>
      <c r="C31" s="18"/>
      <c r="D31" s="18"/>
      <c r="E31" s="18"/>
      <c r="F31" s="18"/>
      <c r="G31" s="81"/>
      <c r="H31" s="82"/>
      <c r="I31" s="82"/>
    </row>
    <row r="32" spans="2:9" ht="18" customHeight="1" x14ac:dyDescent="0.3">
      <c r="B32" s="14"/>
      <c r="C32" s="18"/>
      <c r="D32" s="18"/>
      <c r="E32" s="18"/>
      <c r="F32" s="18"/>
      <c r="G32" s="81"/>
      <c r="H32" s="82"/>
      <c r="I32" s="82"/>
    </row>
    <row r="34" spans="2:9" x14ac:dyDescent="0.3">
      <c r="B34" s="13" t="s">
        <v>80</v>
      </c>
      <c r="C34" s="19">
        <v>0.03</v>
      </c>
    </row>
    <row r="35" spans="2:9" x14ac:dyDescent="0.3">
      <c r="B35" s="13" t="s">
        <v>81</v>
      </c>
      <c r="C35" s="19">
        <v>0.6</v>
      </c>
      <c r="D35" s="83" t="s">
        <v>82</v>
      </c>
      <c r="E35" s="68"/>
      <c r="F35" s="68"/>
      <c r="G35" s="68"/>
      <c r="H35" s="68"/>
      <c r="I35" s="68"/>
    </row>
    <row r="36" spans="2:9" x14ac:dyDescent="0.3">
      <c r="B36" s="13" t="s">
        <v>83</v>
      </c>
      <c r="C36" s="21">
        <v>21</v>
      </c>
      <c r="D36" s="83" t="s">
        <v>84</v>
      </c>
      <c r="E36" s="68"/>
      <c r="F36" s="68"/>
      <c r="G36" s="68"/>
      <c r="H36" s="68"/>
      <c r="I36" s="68"/>
    </row>
    <row r="37" spans="2:9" x14ac:dyDescent="0.3">
      <c r="B37" s="13" t="s">
        <v>85</v>
      </c>
      <c r="C37" s="18">
        <v>2500</v>
      </c>
      <c r="D37" s="83" t="s">
        <v>86</v>
      </c>
      <c r="E37" s="68"/>
      <c r="F37" s="68"/>
      <c r="G37" s="68"/>
      <c r="H37" s="68"/>
      <c r="I37" s="68"/>
    </row>
    <row r="38" spans="2:9" x14ac:dyDescent="0.3">
      <c r="B38" s="13" t="s">
        <v>87</v>
      </c>
      <c r="C38" s="18">
        <v>6000</v>
      </c>
      <c r="D38" s="83" t="s">
        <v>88</v>
      </c>
      <c r="E38" s="68"/>
      <c r="F38" s="68"/>
      <c r="G38" s="68"/>
      <c r="H38" s="68"/>
      <c r="I38" s="68"/>
    </row>
    <row r="40" spans="2:9" ht="22.05" customHeight="1" x14ac:dyDescent="0.3">
      <c r="B40" s="78" t="s">
        <v>89</v>
      </c>
      <c r="C40" s="79"/>
      <c r="D40" s="79"/>
      <c r="E40" s="79"/>
      <c r="F40" s="79"/>
      <c r="G40" s="79"/>
      <c r="H40" s="79"/>
      <c r="I40" s="79"/>
    </row>
    <row r="41" spans="2:9" ht="31.95" customHeight="1" x14ac:dyDescent="0.3">
      <c r="B41" s="16" t="s">
        <v>90</v>
      </c>
      <c r="C41" s="16" t="s">
        <v>91</v>
      </c>
      <c r="D41" s="16" t="s">
        <v>92</v>
      </c>
      <c r="E41" s="84" t="s">
        <v>51</v>
      </c>
      <c r="F41" s="85"/>
      <c r="G41" s="85"/>
      <c r="H41" s="85"/>
      <c r="I41" s="86"/>
    </row>
    <row r="42" spans="2:9" ht="18" customHeight="1" x14ac:dyDescent="0.3">
      <c r="B42" s="14" t="s">
        <v>93</v>
      </c>
      <c r="C42" s="18">
        <v>180000</v>
      </c>
      <c r="D42" s="19">
        <v>0.05</v>
      </c>
      <c r="E42" s="81" t="s">
        <v>94</v>
      </c>
      <c r="F42" s="82"/>
      <c r="G42" s="82"/>
      <c r="H42" s="82"/>
      <c r="I42" s="82"/>
    </row>
    <row r="43" spans="2:9" ht="18" customHeight="1" x14ac:dyDescent="0.3">
      <c r="B43" s="14" t="s">
        <v>95</v>
      </c>
      <c r="C43" s="18">
        <v>54000</v>
      </c>
      <c r="D43" s="19">
        <v>0.03</v>
      </c>
      <c r="E43" s="81"/>
      <c r="F43" s="82"/>
      <c r="G43" s="82"/>
      <c r="H43" s="82"/>
      <c r="I43" s="82"/>
    </row>
    <row r="44" spans="2:9" ht="18" customHeight="1" x14ac:dyDescent="0.3">
      <c r="B44" s="14" t="s">
        <v>96</v>
      </c>
      <c r="C44" s="18">
        <v>25000</v>
      </c>
      <c r="D44" s="19">
        <v>0</v>
      </c>
      <c r="E44" s="81" t="s">
        <v>97</v>
      </c>
      <c r="F44" s="82"/>
      <c r="G44" s="82"/>
      <c r="H44" s="82"/>
      <c r="I44" s="82"/>
    </row>
    <row r="45" spans="2:9" ht="18" customHeight="1" x14ac:dyDescent="0.3">
      <c r="B45" s="14" t="s">
        <v>98</v>
      </c>
      <c r="C45" s="18">
        <v>60000</v>
      </c>
      <c r="D45" s="19">
        <v>0.05</v>
      </c>
      <c r="E45" s="81"/>
      <c r="F45" s="82"/>
      <c r="G45" s="82"/>
      <c r="H45" s="82"/>
      <c r="I45" s="82"/>
    </row>
    <row r="46" spans="2:9" ht="18" customHeight="1" x14ac:dyDescent="0.3">
      <c r="B46" s="14" t="s">
        <v>99</v>
      </c>
      <c r="C46" s="18">
        <v>30000</v>
      </c>
      <c r="D46" s="19">
        <v>0.03</v>
      </c>
      <c r="E46" s="81"/>
      <c r="F46" s="82"/>
      <c r="G46" s="82"/>
      <c r="H46" s="82"/>
      <c r="I46" s="82"/>
    </row>
    <row r="47" spans="2:9" ht="18" customHeight="1" x14ac:dyDescent="0.3">
      <c r="B47" s="14" t="s">
        <v>100</v>
      </c>
      <c r="C47" s="18">
        <v>8000</v>
      </c>
      <c r="D47" s="19">
        <v>0.03</v>
      </c>
      <c r="E47" s="81"/>
      <c r="F47" s="82"/>
      <c r="G47" s="82"/>
      <c r="H47" s="82"/>
      <c r="I47" s="82"/>
    </row>
    <row r="48" spans="2:9" ht="18" customHeight="1" x14ac:dyDescent="0.3">
      <c r="B48" s="14" t="s">
        <v>101</v>
      </c>
      <c r="C48" s="18">
        <v>18000</v>
      </c>
      <c r="D48" s="19">
        <v>0.03</v>
      </c>
      <c r="E48" s="81"/>
      <c r="F48" s="82"/>
      <c r="G48" s="82"/>
      <c r="H48" s="82"/>
      <c r="I48" s="82"/>
    </row>
    <row r="49" spans="2:9" ht="18" customHeight="1" x14ac:dyDescent="0.3">
      <c r="B49" s="14" t="s">
        <v>102</v>
      </c>
      <c r="C49" s="18">
        <v>24000</v>
      </c>
      <c r="D49" s="19">
        <v>0.03</v>
      </c>
      <c r="E49" s="81"/>
      <c r="F49" s="82"/>
      <c r="G49" s="82"/>
      <c r="H49" s="82"/>
      <c r="I49" s="82"/>
    </row>
    <row r="50" spans="2:9" ht="18" customHeight="1" x14ac:dyDescent="0.3">
      <c r="B50" s="14" t="s">
        <v>103</v>
      </c>
      <c r="C50" s="18">
        <v>12000</v>
      </c>
      <c r="D50" s="19">
        <v>0.03</v>
      </c>
      <c r="E50" s="81"/>
      <c r="F50" s="82"/>
      <c r="G50" s="82"/>
      <c r="H50" s="82"/>
      <c r="I50" s="82"/>
    </row>
    <row r="51" spans="2:9" ht="18" customHeight="1" x14ac:dyDescent="0.3">
      <c r="B51" s="14"/>
      <c r="C51" s="18"/>
      <c r="D51" s="19"/>
      <c r="E51" s="81"/>
      <c r="F51" s="82"/>
      <c r="G51" s="82"/>
      <c r="H51" s="82"/>
      <c r="I51" s="82"/>
    </row>
    <row r="53" spans="2:9" ht="22.05" customHeight="1" x14ac:dyDescent="0.3">
      <c r="B53" s="78" t="s">
        <v>104</v>
      </c>
      <c r="C53" s="79"/>
      <c r="D53" s="79"/>
      <c r="E53" s="79"/>
      <c r="F53" s="79"/>
      <c r="G53" s="79"/>
      <c r="H53" s="79"/>
      <c r="I53" s="79"/>
    </row>
    <row r="54" spans="2:9" ht="31.95" customHeight="1" x14ac:dyDescent="0.3">
      <c r="B54" s="16" t="s">
        <v>105</v>
      </c>
      <c r="C54" s="16" t="s">
        <v>106</v>
      </c>
      <c r="D54" s="16" t="s">
        <v>107</v>
      </c>
      <c r="E54" s="16" t="s">
        <v>108</v>
      </c>
      <c r="F54" s="84" t="s">
        <v>51</v>
      </c>
      <c r="G54" s="85"/>
      <c r="H54" s="85"/>
      <c r="I54" s="86"/>
    </row>
    <row r="55" spans="2:9" ht="18" customHeight="1" x14ac:dyDescent="0.3">
      <c r="B55" s="14" t="s">
        <v>109</v>
      </c>
      <c r="C55" s="18">
        <v>250000</v>
      </c>
      <c r="D55" s="14" t="s">
        <v>110</v>
      </c>
      <c r="E55" s="21">
        <v>5</v>
      </c>
      <c r="F55" s="81" t="s">
        <v>111</v>
      </c>
      <c r="G55" s="82"/>
      <c r="H55" s="82"/>
      <c r="I55" s="82"/>
    </row>
    <row r="56" spans="2:9" ht="18" customHeight="1" x14ac:dyDescent="0.3">
      <c r="B56" s="14" t="s">
        <v>112</v>
      </c>
      <c r="C56" s="18">
        <v>150000</v>
      </c>
      <c r="D56" s="14" t="s">
        <v>110</v>
      </c>
      <c r="E56" s="21">
        <v>5</v>
      </c>
      <c r="F56" s="81"/>
      <c r="G56" s="82"/>
      <c r="H56" s="82"/>
      <c r="I56" s="82"/>
    </row>
    <row r="57" spans="2:9" ht="18" customHeight="1" x14ac:dyDescent="0.3">
      <c r="B57" s="14" t="s">
        <v>113</v>
      </c>
      <c r="C57" s="18">
        <v>25000</v>
      </c>
      <c r="D57" s="14" t="s">
        <v>110</v>
      </c>
      <c r="E57" s="21">
        <v>3</v>
      </c>
      <c r="F57" s="81"/>
      <c r="G57" s="82"/>
      <c r="H57" s="82"/>
      <c r="I57" s="82"/>
    </row>
    <row r="58" spans="2:9" ht="18" customHeight="1" x14ac:dyDescent="0.3">
      <c r="B58" s="14" t="s">
        <v>114</v>
      </c>
      <c r="C58" s="18">
        <v>18000</v>
      </c>
      <c r="D58" s="14" t="s">
        <v>115</v>
      </c>
      <c r="E58" s="21"/>
      <c r="F58" s="81" t="s">
        <v>116</v>
      </c>
      <c r="G58" s="82"/>
      <c r="H58" s="82"/>
      <c r="I58" s="82"/>
    </row>
    <row r="59" spans="2:9" ht="18" customHeight="1" x14ac:dyDescent="0.3">
      <c r="B59" s="14" t="s">
        <v>117</v>
      </c>
      <c r="C59" s="18">
        <v>35000</v>
      </c>
      <c r="D59" s="14" t="s">
        <v>118</v>
      </c>
      <c r="E59" s="21"/>
      <c r="F59" s="81"/>
      <c r="G59" s="82"/>
      <c r="H59" s="82"/>
      <c r="I59" s="82"/>
    </row>
    <row r="60" spans="2:9" ht="18" customHeight="1" x14ac:dyDescent="0.3">
      <c r="B60" s="14" t="s">
        <v>119</v>
      </c>
      <c r="C60" s="18">
        <v>30000</v>
      </c>
      <c r="D60" s="14" t="s">
        <v>118</v>
      </c>
      <c r="E60" s="21"/>
      <c r="F60" s="81"/>
      <c r="G60" s="82"/>
      <c r="H60" s="82"/>
      <c r="I60" s="82"/>
    </row>
    <row r="61" spans="2:9" ht="18" customHeight="1" x14ac:dyDescent="0.3">
      <c r="B61" s="14"/>
      <c r="C61" s="18"/>
      <c r="D61" s="14"/>
      <c r="E61" s="21"/>
      <c r="F61" s="81"/>
      <c r="G61" s="82"/>
      <c r="H61" s="82"/>
      <c r="I61" s="82"/>
    </row>
    <row r="62" spans="2:9" ht="18" customHeight="1" x14ac:dyDescent="0.3">
      <c r="B62" s="14"/>
      <c r="C62" s="18"/>
      <c r="D62" s="14"/>
      <c r="E62" s="21"/>
      <c r="F62" s="81"/>
      <c r="G62" s="82"/>
      <c r="H62" s="82"/>
      <c r="I62" s="82"/>
    </row>
    <row r="63" spans="2:9" ht="31.95" customHeight="1" x14ac:dyDescent="0.3">
      <c r="B63" s="70" t="s">
        <v>120</v>
      </c>
      <c r="C63" s="68"/>
      <c r="D63" s="68"/>
      <c r="E63" s="68"/>
      <c r="F63" s="68"/>
      <c r="G63" s="68"/>
      <c r="H63" s="68"/>
      <c r="I63" s="68"/>
    </row>
    <row r="65" spans="2:9" ht="22.05" customHeight="1" x14ac:dyDescent="0.3">
      <c r="B65" s="78" t="s">
        <v>121</v>
      </c>
      <c r="C65" s="79"/>
      <c r="D65" s="79"/>
      <c r="E65" s="79"/>
      <c r="F65" s="79"/>
      <c r="G65" s="79"/>
      <c r="H65" s="79"/>
      <c r="I65" s="79"/>
    </row>
    <row r="66" spans="2:9" ht="18" customHeight="1" x14ac:dyDescent="0.3">
      <c r="B66" s="13" t="s">
        <v>122</v>
      </c>
      <c r="C66" s="18">
        <v>350000</v>
      </c>
    </row>
    <row r="67" spans="2:9" ht="18" customHeight="1" x14ac:dyDescent="0.3">
      <c r="B67" s="13" t="s">
        <v>123</v>
      </c>
      <c r="C67" s="18">
        <v>250000</v>
      </c>
      <c r="D67" s="83" t="s">
        <v>124</v>
      </c>
      <c r="E67" s="68"/>
      <c r="F67" s="68"/>
      <c r="G67" s="68"/>
      <c r="H67" s="68"/>
      <c r="I67" s="68"/>
    </row>
    <row r="68" spans="2:9" ht="18" customHeight="1" x14ac:dyDescent="0.3">
      <c r="B68" s="13" t="s">
        <v>125</v>
      </c>
      <c r="C68" s="19">
        <v>0.08</v>
      </c>
    </row>
    <row r="69" spans="2:9" ht="18" customHeight="1" x14ac:dyDescent="0.3">
      <c r="B69" s="13" t="s">
        <v>126</v>
      </c>
      <c r="C69" s="21">
        <v>5</v>
      </c>
    </row>
    <row r="70" spans="2:9" ht="18" customHeight="1" x14ac:dyDescent="0.3"/>
    <row r="71" spans="2:9" ht="18" customHeight="1" x14ac:dyDescent="0.3">
      <c r="B71" s="78" t="s">
        <v>127</v>
      </c>
      <c r="C71" s="79"/>
      <c r="D71" s="79"/>
      <c r="E71" s="79"/>
      <c r="F71" s="79"/>
      <c r="G71" s="79"/>
      <c r="H71" s="79"/>
      <c r="I71" s="79"/>
    </row>
    <row r="72" spans="2:9" ht="18" customHeight="1" x14ac:dyDescent="0.3">
      <c r="B72" s="13" t="s">
        <v>128</v>
      </c>
      <c r="C72" s="21">
        <v>3</v>
      </c>
      <c r="D72" s="83" t="s">
        <v>129</v>
      </c>
      <c r="E72" s="68"/>
      <c r="F72" s="68"/>
      <c r="G72" s="68"/>
      <c r="H72" s="68"/>
      <c r="I72" s="68"/>
    </row>
    <row r="73" spans="2:9" ht="18" customHeight="1" x14ac:dyDescent="0.3">
      <c r="B73" s="13" t="s">
        <v>130</v>
      </c>
      <c r="C73" s="21">
        <v>15</v>
      </c>
    </row>
    <row r="74" spans="2:9" ht="18" customHeight="1" x14ac:dyDescent="0.3">
      <c r="B74" s="13" t="s">
        <v>131</v>
      </c>
      <c r="C74" s="21">
        <v>30</v>
      </c>
    </row>
    <row r="75" spans="2:9" ht="18" customHeight="1" x14ac:dyDescent="0.3">
      <c r="B75" s="13" t="s">
        <v>132</v>
      </c>
      <c r="C75" s="18">
        <v>50000</v>
      </c>
      <c r="D75" s="83" t="s">
        <v>133</v>
      </c>
      <c r="E75" s="68"/>
      <c r="F75" s="68"/>
      <c r="G75" s="68"/>
      <c r="H75" s="68"/>
      <c r="I75" s="68"/>
    </row>
    <row r="76" spans="2:9" ht="18" customHeight="1" x14ac:dyDescent="0.3"/>
    <row r="77" spans="2:9" ht="18" customHeight="1" x14ac:dyDescent="0.3">
      <c r="B77" s="78" t="s">
        <v>134</v>
      </c>
      <c r="C77" s="79"/>
      <c r="D77" s="79"/>
      <c r="E77" s="79"/>
      <c r="F77" s="79"/>
      <c r="G77" s="79"/>
      <c r="H77" s="79"/>
      <c r="I77" s="79"/>
    </row>
    <row r="78" spans="2:9" ht="18" customHeight="1" x14ac:dyDescent="0.3">
      <c r="B78" s="13" t="s">
        <v>135</v>
      </c>
      <c r="C78" s="19">
        <v>0.09</v>
      </c>
      <c r="D78" s="83" t="s">
        <v>136</v>
      </c>
      <c r="E78" s="68"/>
      <c r="F78" s="68"/>
      <c r="G78" s="68"/>
      <c r="H78" s="68"/>
      <c r="I78" s="68"/>
    </row>
    <row r="79" spans="2:9" ht="18" customHeight="1" x14ac:dyDescent="0.3">
      <c r="B79" s="13" t="s">
        <v>137</v>
      </c>
      <c r="C79" s="18">
        <v>375000</v>
      </c>
      <c r="D79" s="83" t="s">
        <v>138</v>
      </c>
      <c r="E79" s="68"/>
      <c r="F79" s="68"/>
      <c r="G79" s="68"/>
      <c r="H79" s="68"/>
      <c r="I79" s="68"/>
    </row>
    <row r="80" spans="2:9" ht="18" customHeight="1" x14ac:dyDescent="0.3">
      <c r="B80" s="13" t="s">
        <v>139</v>
      </c>
      <c r="C80" s="19">
        <v>0.75</v>
      </c>
      <c r="D80" s="83" t="s">
        <v>140</v>
      </c>
      <c r="E80" s="68"/>
      <c r="F80" s="68"/>
      <c r="G80" s="68"/>
      <c r="H80" s="68"/>
      <c r="I80" s="68"/>
    </row>
    <row r="81" spans="2:9" ht="18" customHeight="1" x14ac:dyDescent="0.3">
      <c r="B81" s="13" t="s">
        <v>141</v>
      </c>
      <c r="C81" s="19">
        <v>0.12</v>
      </c>
      <c r="D81" s="83" t="s">
        <v>142</v>
      </c>
      <c r="E81" s="68"/>
      <c r="F81" s="68"/>
      <c r="G81" s="68"/>
      <c r="H81" s="68"/>
      <c r="I81" s="68"/>
    </row>
    <row r="82" spans="2:9" ht="18" customHeight="1" x14ac:dyDescent="0.3">
      <c r="B82" s="13" t="s">
        <v>143</v>
      </c>
      <c r="C82" s="18">
        <v>0</v>
      </c>
      <c r="D82" s="83" t="s">
        <v>144</v>
      </c>
      <c r="E82" s="68"/>
      <c r="F82" s="68"/>
      <c r="G82" s="68"/>
      <c r="H82" s="68"/>
      <c r="I82" s="68"/>
    </row>
    <row r="84" spans="2:9" ht="34.049999999999997" customHeight="1" x14ac:dyDescent="0.3">
      <c r="B84" s="80" t="s">
        <v>145</v>
      </c>
      <c r="C84" s="68"/>
      <c r="D84" s="68"/>
      <c r="E84" s="68"/>
      <c r="F84" s="68"/>
      <c r="G84" s="68"/>
      <c r="H84" s="68"/>
      <c r="I84" s="68"/>
    </row>
    <row r="85" spans="2:9" ht="21" customHeight="1" x14ac:dyDescent="0.3">
      <c r="B85" s="80" t="s">
        <v>146</v>
      </c>
      <c r="C85" s="68"/>
      <c r="D85" s="68"/>
      <c r="E85" s="68"/>
      <c r="F85" s="68"/>
      <c r="G85" s="68"/>
      <c r="H85" s="68"/>
      <c r="I85" s="68"/>
    </row>
  </sheetData>
  <mergeCells count="56">
    <mergeCell ref="C7:F7"/>
    <mergeCell ref="D75:I75"/>
    <mergeCell ref="A3:I3"/>
    <mergeCell ref="G30:I30"/>
    <mergeCell ref="B71:I71"/>
    <mergeCell ref="E48:I48"/>
    <mergeCell ref="D72:I72"/>
    <mergeCell ref="B11:I11"/>
    <mergeCell ref="C6:F6"/>
    <mergeCell ref="B23:I23"/>
    <mergeCell ref="B5:I5"/>
    <mergeCell ref="E43:I43"/>
    <mergeCell ref="E50:I50"/>
    <mergeCell ref="G28:I28"/>
    <mergeCell ref="F56:I56"/>
    <mergeCell ref="F61:I61"/>
    <mergeCell ref="D35:I35"/>
    <mergeCell ref="E45:I45"/>
    <mergeCell ref="D78:I78"/>
    <mergeCell ref="F60:I60"/>
    <mergeCell ref="G24:I24"/>
    <mergeCell ref="E44:I44"/>
    <mergeCell ref="F57:I57"/>
    <mergeCell ref="E51:I51"/>
    <mergeCell ref="B77:I77"/>
    <mergeCell ref="D37:I37"/>
    <mergeCell ref="F54:I54"/>
    <mergeCell ref="G26:I26"/>
    <mergeCell ref="G29:I29"/>
    <mergeCell ref="G25:I25"/>
    <mergeCell ref="G31:I31"/>
    <mergeCell ref="F58:I58"/>
    <mergeCell ref="D38:I38"/>
    <mergeCell ref="D67:I67"/>
    <mergeCell ref="E46:I46"/>
    <mergeCell ref="F55:I55"/>
    <mergeCell ref="D79:I79"/>
    <mergeCell ref="E49:I49"/>
    <mergeCell ref="F59:I59"/>
    <mergeCell ref="E42:I42"/>
    <mergeCell ref="B85:I85"/>
    <mergeCell ref="E47:I47"/>
    <mergeCell ref="D21:I21"/>
    <mergeCell ref="B84:I84"/>
    <mergeCell ref="B65:I65"/>
    <mergeCell ref="B40:I40"/>
    <mergeCell ref="D81:I81"/>
    <mergeCell ref="G27:I27"/>
    <mergeCell ref="D80:I80"/>
    <mergeCell ref="E41:I41"/>
    <mergeCell ref="F62:I62"/>
    <mergeCell ref="D36:I36"/>
    <mergeCell ref="B63:I63"/>
    <mergeCell ref="D82:I82"/>
    <mergeCell ref="G32:I32"/>
    <mergeCell ref="B53:I53"/>
  </mergeCells>
  <dataValidations count="3">
    <dataValidation type="whole" allowBlank="1" showErrorMessage="1" errorTitle="Out of range" error="Enter a year, for example 2027." sqref="C9" xr:uid="{00000000-0002-0000-0100-000000000000}">
      <formula1>2000</formula1>
      <formula2>2100</formula2>
    </dataValidation>
    <dataValidation type="list" allowBlank="1" showInputMessage="1" showErrorMessage="1" errorTitle="Not on the list" error="Choose a value from the list." prompt="Asset: spread over its useful life. Expense: charged before opening. Deposit: refundable, so not a cost." sqref="D55:D62" xr:uid="{00000000-0002-0000-0100-000001000000}">
      <formula1>"Asset,Expense,Deposit"</formula1>
    </dataValidation>
    <dataValidation type="whole" allowBlank="1" showErrorMessage="1" errorTitle="Out of range" error="Useful life in whole years, between 1 and 50." sqref="E55:E62" xr:uid="{00000000-0002-0000-0100-000002000000}">
      <formula1>1</formula1>
      <formula2>50</formula2>
    </dataValidation>
  </dataValidations>
  <printOptions horizontalCentered="1"/>
  <pageMargins left="0.4" right="0.4" top="0.5" bottom="0.5" header="0.25" footer="0.25"/>
  <pageSetup paperSize="9" fitToHeight="0" orientation="portrait"/>
  <headerFooter>
    <oddFooter>&amp;L&amp;7 &amp;K6A727CTemplate: Shog Corporate Training · training.shogconsulting.com&amp;R&amp;7 &amp;K6A727CPage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87F8C"/>
    <pageSetUpPr fitToPage="1"/>
  </sheetPr>
  <dimension ref="A1:O47"/>
  <sheetViews>
    <sheetView showGridLines="0" workbookViewId="0"/>
  </sheetViews>
  <sheetFormatPr defaultRowHeight="14.4" x14ac:dyDescent="0.3"/>
  <cols>
    <col min="1" max="1" width="2" customWidth="1"/>
    <col min="2" max="9" width="13.44140625" customWidth="1"/>
    <col min="10" max="10" width="3" customWidth="1"/>
    <col min="11" max="11" width="16" customWidth="1"/>
    <col min="12" max="15" width="13" customWidth="1"/>
  </cols>
  <sheetData>
    <row r="1" spans="1:15" ht="31.95" customHeight="1" x14ac:dyDescent="0.3">
      <c r="A1" s="10" t="str">
        <f>"Feasibility summary: "&amp;ProjectName</f>
        <v>Feasibility summary: Neighbourhood café</v>
      </c>
    </row>
    <row r="2" spans="1:15" ht="19.95" customHeight="1" x14ac:dyDescent="0.3">
      <c r="A2" s="11" t="str">
        <f>Location&amp;"  ·  "&amp;Currency&amp;", excluding VAT  ·  three years from "&amp;FirstYear</f>
        <v>Dubai, UAE  ·  AED, excluding VAT  ·  three years from 2027</v>
      </c>
      <c r="B2" s="12"/>
      <c r="C2" s="12"/>
      <c r="D2" s="12"/>
      <c r="E2" s="12"/>
      <c r="F2" s="12"/>
      <c r="G2" s="12"/>
      <c r="H2" s="12"/>
      <c r="I2" s="12"/>
    </row>
    <row r="4" spans="1:15" ht="16.05" customHeight="1" x14ac:dyDescent="0.3">
      <c r="B4" s="97" t="s">
        <v>147</v>
      </c>
      <c r="C4" s="91"/>
      <c r="D4" s="97" t="s">
        <v>148</v>
      </c>
      <c r="E4" s="91"/>
      <c r="F4" s="97" t="s">
        <v>149</v>
      </c>
      <c r="G4" s="91"/>
      <c r="H4" s="97" t="s">
        <v>150</v>
      </c>
      <c r="I4" s="91"/>
      <c r="K4" s="22" t="s">
        <v>151</v>
      </c>
    </row>
    <row r="5" spans="1:15" ht="30" customHeight="1" x14ac:dyDescent="0.3">
      <c r="B5" s="90">
        <f>SUM(Inputs!$C$55:$C$62)</f>
        <v>508000</v>
      </c>
      <c r="C5" s="91"/>
      <c r="D5" s="90">
        <f>Equity+Loan</f>
        <v>600000</v>
      </c>
      <c r="E5" s="91"/>
      <c r="F5" s="98">
        <f>IF(MIN('Cash Flow'!C46:F46)&gt;=0,0,IF(COUNT('Cash Flow'!D47:F47)=0,"Over 3 years",MIN('Cash Flow'!D47:F47)))</f>
        <v>2.1143491884713073</v>
      </c>
      <c r="G5" s="91"/>
      <c r="H5" s="99">
        <f>SUM('Cash Flow'!C49:F49)</f>
        <v>198819.53313143991</v>
      </c>
      <c r="I5" s="91"/>
      <c r="K5" s="23"/>
      <c r="L5" s="24" t="s">
        <v>152</v>
      </c>
      <c r="M5" s="24" t="str">
        <f>"Year 1"</f>
        <v>Year 1</v>
      </c>
      <c r="N5" s="24" t="str">
        <f>"Year 2"</f>
        <v>Year 2</v>
      </c>
      <c r="O5" s="24" t="str">
        <f>"Year 3"</f>
        <v>Year 3</v>
      </c>
    </row>
    <row r="6" spans="1:15" ht="16.05" customHeight="1" x14ac:dyDescent="0.3">
      <c r="B6" s="96" t="str">
        <f>"incl. "&amp;FIXED(SUMIF(Inputs!$D$55:$D$62,"Asset",Inputs!$C$55:$C$62),0)&amp;" in assets"</f>
        <v>incl. 425,000 in assets</v>
      </c>
      <c r="C6" s="91"/>
      <c r="D6" s="96" t="str">
        <f>FIXED(Equity,0)&amp;" capital, "&amp;FIXED(Loan,0)&amp;" loan"</f>
        <v>350,000 capital, 250,000 loan</v>
      </c>
      <c r="E6" s="91"/>
      <c r="F6" s="96" t="str">
        <f>"after opening"</f>
        <v>after opening</v>
      </c>
      <c r="G6" s="91"/>
      <c r="H6" s="96" t="str">
        <f>"at "&amp;ROUND(DiscountRate*100,1)&amp;"% a year"&amp;IF(ExitValue=0,", no exit value","")</f>
        <v>at 12% a year, no exit value</v>
      </c>
      <c r="I6" s="91"/>
      <c r="K6" s="23" t="s">
        <v>153</v>
      </c>
      <c r="L6" s="24">
        <f>Projections!C18</f>
        <v>0</v>
      </c>
      <c r="M6" s="24">
        <f>Projections!D18</f>
        <v>1729000</v>
      </c>
      <c r="N6" s="24">
        <f>Projections!E18</f>
        <v>2062368.9999999995</v>
      </c>
      <c r="O6" s="24">
        <f>Projections!F18</f>
        <v>2354805.4670000002</v>
      </c>
    </row>
    <row r="7" spans="1:15" ht="7.95" customHeight="1" x14ac:dyDescent="0.3">
      <c r="K7" s="23" t="s">
        <v>154</v>
      </c>
      <c r="L7" s="24">
        <f>Projections!C18-Projections!C66</f>
        <v>65000</v>
      </c>
      <c r="M7" s="24">
        <f>Projections!D18-Projections!D66</f>
        <v>1696535.3333333333</v>
      </c>
      <c r="N7" s="24">
        <f>Projections!E18-Projections!E66</f>
        <v>1862800.4242419964</v>
      </c>
      <c r="O7" s="24">
        <f>Projections!F18-Projections!F66</f>
        <v>1994138.7238033528</v>
      </c>
    </row>
    <row r="8" spans="1:15" ht="16.05" customHeight="1" x14ac:dyDescent="0.3">
      <c r="B8" s="97" t="s">
        <v>155</v>
      </c>
      <c r="C8" s="91"/>
      <c r="D8" s="97" t="s">
        <v>156</v>
      </c>
      <c r="E8" s="91"/>
      <c r="F8" s="97" t="s">
        <v>157</v>
      </c>
      <c r="G8" s="91"/>
      <c r="H8" s="97" t="s">
        <v>158</v>
      </c>
      <c r="I8" s="91"/>
      <c r="K8" s="23" t="s">
        <v>159</v>
      </c>
      <c r="L8" s="24">
        <f>Projections!C66</f>
        <v>-65000</v>
      </c>
      <c r="M8" s="24">
        <f>Projections!D66</f>
        <v>32464.666666666672</v>
      </c>
      <c r="N8" s="24">
        <f>Projections!E66</f>
        <v>199568.57575800322</v>
      </c>
      <c r="O8" s="24">
        <f>Projections!F66</f>
        <v>360666.74319664738</v>
      </c>
    </row>
    <row r="9" spans="1:15" ht="30" customHeight="1" x14ac:dyDescent="0.3">
      <c r="B9" s="90">
        <f>Projections!F18</f>
        <v>2354805.4670000002</v>
      </c>
      <c r="C9" s="91"/>
      <c r="D9" s="90">
        <f>Projections!F66</f>
        <v>360666.74319664738</v>
      </c>
      <c r="E9" s="91"/>
      <c r="F9" s="92">
        <f>IFERROR(IRR('Cash Flow'!C45:F45),"Not reached")</f>
        <v>0.29835318993125659</v>
      </c>
      <c r="G9" s="91"/>
      <c r="H9" s="90">
        <f>'Break-even'!C11</f>
        <v>139898.81910152119</v>
      </c>
      <c r="I9" s="91"/>
      <c r="K9" s="23" t="s">
        <v>160</v>
      </c>
      <c r="L9" s="24">
        <f>'Cash Flow'!C22</f>
        <v>92000</v>
      </c>
      <c r="M9" s="24">
        <f>'Cash Flow'!D22</f>
        <v>178246.900056921</v>
      </c>
      <c r="N9" s="24">
        <f>'Cash Flow'!E22</f>
        <v>421780.81436041713</v>
      </c>
      <c r="O9" s="24">
        <f>'Cash Flow'!F22</f>
        <v>822580.20687980414</v>
      </c>
    </row>
    <row r="10" spans="1:15" ht="16.05" customHeight="1" x14ac:dyDescent="0.3">
      <c r="B10" s="96" t="str">
        <f>"year 1: "&amp;FIXED(Projections!D18,0)</f>
        <v>year 1: 1,729,000</v>
      </c>
      <c r="C10" s="91"/>
      <c r="D10" s="96" t="str">
        <f>"net margin "&amp;IF(Projections!F18=0,"–",ROUND(Projections!F66/Projections!F18*100,1)&amp;"%")</f>
        <v>net margin 15.3%</v>
      </c>
      <c r="E10" s="91"/>
      <c r="F10" s="96" t="str">
        <f>"on the project cash flow"</f>
        <v>on the project cash flow</v>
      </c>
      <c r="G10" s="91"/>
      <c r="H10" s="96" t="str">
        <f>"year 1 plan: "&amp;FIXED('Break-even'!C12,0)</f>
        <v>year 1 plan: 144,083</v>
      </c>
      <c r="I10" s="91"/>
    </row>
    <row r="11" spans="1:15" ht="7.95" customHeight="1" x14ac:dyDescent="0.3"/>
    <row r="13" spans="1:15" ht="19.95" customHeight="1" x14ac:dyDescent="0.3">
      <c r="B13" s="25" t="s">
        <v>161</v>
      </c>
      <c r="C13" s="26"/>
      <c r="D13" s="26"/>
      <c r="E13" s="26"/>
      <c r="F13" s="26"/>
      <c r="G13" s="26"/>
      <c r="H13" s="26"/>
      <c r="I13" s="26"/>
    </row>
    <row r="14" spans="1:15" ht="30" customHeight="1" x14ac:dyDescent="0.3">
      <c r="B14" s="68"/>
      <c r="C14" s="68"/>
      <c r="D14" s="68"/>
      <c r="E14" s="68"/>
      <c r="F14" s="27" t="s">
        <v>152</v>
      </c>
      <c r="G14" s="16" t="str">
        <f>"Year 1 ("&amp;(FirstYear+0)&amp;")"</f>
        <v>Year 1 (2027)</v>
      </c>
      <c r="H14" s="16" t="str">
        <f>"Year 2 ("&amp;(FirstYear+1)&amp;")"</f>
        <v>Year 2 (2028)</v>
      </c>
      <c r="I14" s="16" t="str">
        <f>"Year 3 ("&amp;(FirstYear+2)&amp;")"</f>
        <v>Year 3 (2029)</v>
      </c>
    </row>
    <row r="15" spans="1:15" ht="18" customHeight="1" x14ac:dyDescent="0.3">
      <c r="B15" s="93" t="s">
        <v>153</v>
      </c>
      <c r="C15" s="74"/>
      <c r="D15" s="74"/>
      <c r="E15" s="74"/>
      <c r="F15" s="28">
        <f>Projections!C18</f>
        <v>0</v>
      </c>
      <c r="G15" s="28">
        <f>Projections!D18</f>
        <v>1729000</v>
      </c>
      <c r="H15" s="28">
        <f>Projections!E18</f>
        <v>2062368.9999999995</v>
      </c>
      <c r="I15" s="28">
        <f>Projections!F18</f>
        <v>2354805.4670000002</v>
      </c>
    </row>
    <row r="16" spans="1:15" ht="18" customHeight="1" x14ac:dyDescent="0.3">
      <c r="B16" s="93" t="s">
        <v>162</v>
      </c>
      <c r="C16" s="74"/>
      <c r="D16" s="74"/>
      <c r="E16" s="74"/>
      <c r="F16" s="28">
        <f>Projections!C28</f>
        <v>0</v>
      </c>
      <c r="G16" s="28">
        <f>Projections!D28</f>
        <v>1117840</v>
      </c>
      <c r="H16" s="28">
        <f>Projections!E28</f>
        <v>1330922.7399999998</v>
      </c>
      <c r="I16" s="28">
        <f>Projections!F28</f>
        <v>1516566.9468200002</v>
      </c>
    </row>
    <row r="17" spans="2:9" ht="18" customHeight="1" x14ac:dyDescent="0.3">
      <c r="B17" s="93" t="s">
        <v>163</v>
      </c>
      <c r="C17" s="74"/>
      <c r="D17" s="74"/>
      <c r="E17" s="74"/>
      <c r="F17" s="29" t="str">
        <f>Projections!C29</f>
        <v/>
      </c>
      <c r="G17" s="29">
        <f>Projections!D29</f>
        <v>0.64652400231347595</v>
      </c>
      <c r="H17" s="29">
        <f>Projections!E29</f>
        <v>0.64533686260800083</v>
      </c>
      <c r="I17" s="29">
        <f>Projections!F29</f>
        <v>0.64403067177862983</v>
      </c>
    </row>
    <row r="18" spans="2:9" ht="18" customHeight="1" x14ac:dyDescent="0.3">
      <c r="B18" s="93" t="s">
        <v>164</v>
      </c>
      <c r="C18" s="74"/>
      <c r="D18" s="74"/>
      <c r="E18" s="74"/>
      <c r="F18" s="28">
        <f>Projections!C53</f>
        <v>-65000</v>
      </c>
      <c r="G18" s="28">
        <f>Projections!D53</f>
        <v>140798</v>
      </c>
      <c r="H18" s="28">
        <f>Projections!E53</f>
        <v>304492.7799999998</v>
      </c>
      <c r="I18" s="28">
        <f>Projections!F53</f>
        <v>461909.08802000032</v>
      </c>
    </row>
    <row r="19" spans="2:9" ht="18" customHeight="1" x14ac:dyDescent="0.3">
      <c r="B19" s="93" t="s">
        <v>165</v>
      </c>
      <c r="C19" s="74"/>
      <c r="D19" s="74"/>
      <c r="E19" s="74"/>
      <c r="F19" s="28">
        <f>Projections!C63</f>
        <v>0</v>
      </c>
      <c r="G19" s="28">
        <f>Projections!D63</f>
        <v>0</v>
      </c>
      <c r="H19" s="28">
        <f>Projections!E63</f>
        <v>0</v>
      </c>
      <c r="I19" s="28">
        <f>Projections!F63</f>
        <v>0</v>
      </c>
    </row>
    <row r="20" spans="2:9" ht="18" customHeight="1" x14ac:dyDescent="0.3">
      <c r="B20" s="94" t="s">
        <v>159</v>
      </c>
      <c r="C20" s="95"/>
      <c r="D20" s="95"/>
      <c r="E20" s="95"/>
      <c r="F20" s="30">
        <f>Projections!C66</f>
        <v>-65000</v>
      </c>
      <c r="G20" s="30">
        <f>Projections!D66</f>
        <v>32464.666666666672</v>
      </c>
      <c r="H20" s="30">
        <f>Projections!E66</f>
        <v>199568.57575800322</v>
      </c>
      <c r="I20" s="30">
        <f>Projections!F66</f>
        <v>360666.74319664738</v>
      </c>
    </row>
    <row r="21" spans="2:9" ht="18" customHeight="1" x14ac:dyDescent="0.3">
      <c r="B21" s="93" t="s">
        <v>166</v>
      </c>
      <c r="C21" s="74"/>
      <c r="D21" s="74"/>
      <c r="E21" s="74"/>
      <c r="F21" s="29" t="str">
        <f>Projections!C67</f>
        <v/>
      </c>
      <c r="G21" s="29">
        <f>Projections!D67</f>
        <v>1.877655677655678E-2</v>
      </c>
      <c r="H21" s="29">
        <f>Projections!E67</f>
        <v>9.6766667729200381E-2</v>
      </c>
      <c r="I21" s="29">
        <f>Projections!F67</f>
        <v>0.1531620120009885</v>
      </c>
    </row>
    <row r="22" spans="2:9" ht="18" customHeight="1" x14ac:dyDescent="0.3">
      <c r="B22" s="94" t="s">
        <v>160</v>
      </c>
      <c r="C22" s="95"/>
      <c r="D22" s="95"/>
      <c r="E22" s="95"/>
      <c r="F22" s="30">
        <f>'Cash Flow'!C22</f>
        <v>92000</v>
      </c>
      <c r="G22" s="30">
        <f>'Cash Flow'!D22</f>
        <v>178246.900056921</v>
      </c>
      <c r="H22" s="30">
        <f>'Cash Flow'!E22</f>
        <v>421780.81436041713</v>
      </c>
      <c r="I22" s="30">
        <f>'Cash Flow'!F22</f>
        <v>822580.20687980414</v>
      </c>
    </row>
    <row r="24" spans="2:9" ht="19.95" customHeight="1" x14ac:dyDescent="0.3">
      <c r="B24" s="25" t="s">
        <v>167</v>
      </c>
      <c r="C24" s="26"/>
      <c r="D24" s="26"/>
      <c r="E24" s="26"/>
      <c r="F24" s="26"/>
      <c r="G24" s="26"/>
      <c r="H24" s="26"/>
      <c r="I24" s="26"/>
    </row>
    <row r="25" spans="2:9" ht="19.95" customHeight="1" x14ac:dyDescent="0.3">
      <c r="B25" s="31" t="str">
        <f>IF(MIN('Cash Flow'!C22:F22)&gt;=MinCash,"Yes","No")</f>
        <v>Yes</v>
      </c>
      <c r="C25" s="89" t="str">
        <f>"Cash stays above your minimum of "&amp;FIXED(MinCash,0)&amp;" in every period. Lowest: "&amp;FIXED(MIN('Cash Flow'!C22:F22),0)&amp;"."</f>
        <v>Cash stays above your minimum of 50,000 in every period. Lowest: 92,000.</v>
      </c>
      <c r="D25" s="68"/>
      <c r="E25" s="68"/>
      <c r="F25" s="68"/>
      <c r="G25" s="68"/>
      <c r="H25" s="68"/>
      <c r="I25" s="68"/>
    </row>
    <row r="26" spans="2:9" ht="19.95" customHeight="1" x14ac:dyDescent="0.3">
      <c r="B26" s="31" t="str">
        <f>IF(Equity+Loan&gt;=SUM(Inputs!$C$55:$C$62),"Yes","No")</f>
        <v>Yes</v>
      </c>
      <c r="C26" s="89" t="str">
        <f>"Funding of "&amp;FIXED(Equity+Loan,0)&amp;" covers start-up costs of "&amp;FIXED(SUM(Inputs!$C$55:$C$62),0)&amp;"."</f>
        <v>Funding of 600,000 covers start-up costs of 508,000.</v>
      </c>
      <c r="D26" s="68"/>
      <c r="E26" s="68"/>
      <c r="F26" s="68"/>
      <c r="G26" s="68"/>
      <c r="H26" s="68"/>
      <c r="I26" s="68"/>
    </row>
    <row r="27" spans="2:9" ht="19.95" customHeight="1" x14ac:dyDescent="0.3">
      <c r="B27" s="31" t="str">
        <f>IF(Projections!F66&gt;0,"Yes","No")</f>
        <v>Yes</v>
      </c>
      <c r="C27" s="89" t="str">
        <f>"Profitable by year 3."</f>
        <v>Profitable by year 3.</v>
      </c>
      <c r="D27" s="68"/>
      <c r="E27" s="68"/>
      <c r="F27" s="68"/>
      <c r="G27" s="68"/>
      <c r="H27" s="68"/>
      <c r="I27" s="68"/>
    </row>
    <row r="28" spans="2:9" ht="19.95" customHeight="1" x14ac:dyDescent="0.3">
      <c r="B28" s="31" t="str">
        <f>IF(ISNUMBER(F5),IF(F5&lt;=3,"Yes","No"),"No")</f>
        <v>Yes</v>
      </c>
      <c r="C28" s="89" t="str">
        <f>"Pays back its start-up costs within three years of opening."</f>
        <v>Pays back its start-up costs within three years of opening.</v>
      </c>
      <c r="D28" s="68"/>
      <c r="E28" s="68"/>
      <c r="F28" s="68"/>
      <c r="G28" s="68"/>
      <c r="H28" s="68"/>
      <c r="I28" s="68"/>
    </row>
    <row r="29" spans="2:9" ht="19.95" customHeight="1" x14ac:dyDescent="0.3">
      <c r="B29" s="31" t="str">
        <f>IF(MAX(Projections!D18:F18)&gt;375000,"Required",IF(MAX(Projections!D18:F18)&gt;187500,"Optional","Not yet"))</f>
        <v>Required</v>
      </c>
      <c r="C29" s="89" t="str">
        <f>"VAT registration: compulsory once taxable sales pass AED 375,000 in 12 months, optional above AED 187,500."</f>
        <v>VAT registration: compulsory once taxable sales pass AED 375,000 in 12 months, optional above AED 187,500.</v>
      </c>
      <c r="D29" s="68"/>
      <c r="E29" s="68"/>
      <c r="F29" s="68"/>
      <c r="G29" s="68"/>
      <c r="H29" s="68"/>
      <c r="I29" s="68"/>
    </row>
    <row r="31" spans="2:9" ht="19.95" customHeight="1" x14ac:dyDescent="0.3">
      <c r="B31" s="25" t="s">
        <v>168</v>
      </c>
      <c r="C31" s="26"/>
      <c r="D31" s="26"/>
      <c r="E31" s="26"/>
      <c r="F31" s="25" t="s">
        <v>169</v>
      </c>
      <c r="G31" s="26"/>
      <c r="H31" s="26"/>
      <c r="I31" s="26"/>
    </row>
    <row r="32" spans="2:9"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sheetData>
  <sheetProtection sheet="1" formatCells="0" formatColumns="0" formatRows="0"/>
  <mergeCells count="38">
    <mergeCell ref="F4:G4"/>
    <mergeCell ref="D10:E10"/>
    <mergeCell ref="F10:G10"/>
    <mergeCell ref="H10:I10"/>
    <mergeCell ref="B15:E15"/>
    <mergeCell ref="F6:G6"/>
    <mergeCell ref="H4:I4"/>
    <mergeCell ref="F5:G5"/>
    <mergeCell ref="D4:E4"/>
    <mergeCell ref="B5:C5"/>
    <mergeCell ref="D5:E5"/>
    <mergeCell ref="H5:I5"/>
    <mergeCell ref="H8:I8"/>
    <mergeCell ref="B4:C4"/>
    <mergeCell ref="D6:E6"/>
    <mergeCell ref="C28:I28"/>
    <mergeCell ref="H6:I6"/>
    <mergeCell ref="B16:E16"/>
    <mergeCell ref="B8:C8"/>
    <mergeCell ref="C27:I27"/>
    <mergeCell ref="B22:E22"/>
    <mergeCell ref="F8:G8"/>
    <mergeCell ref="B18:E18"/>
    <mergeCell ref="C26:I26"/>
    <mergeCell ref="B10:C10"/>
    <mergeCell ref="B21:E21"/>
    <mergeCell ref="D8:E8"/>
    <mergeCell ref="B6:C6"/>
    <mergeCell ref="C29:I29"/>
    <mergeCell ref="B9:C9"/>
    <mergeCell ref="D9:E9"/>
    <mergeCell ref="C25:I25"/>
    <mergeCell ref="F9:G9"/>
    <mergeCell ref="B14:E14"/>
    <mergeCell ref="B17:E17"/>
    <mergeCell ref="B19:E19"/>
    <mergeCell ref="B20:E20"/>
    <mergeCell ref="H9:I9"/>
  </mergeCells>
  <conditionalFormatting sqref="B25:B29">
    <cfRule type="expression" dxfId="16" priority="4">
      <formula>B25="Yes"</formula>
    </cfRule>
    <cfRule type="expression" dxfId="15" priority="5">
      <formula>B25="No"</formula>
    </cfRule>
    <cfRule type="expression" dxfId="14" priority="6">
      <formula>B25="Required"</formula>
    </cfRule>
    <cfRule type="expression" dxfId="13" priority="7">
      <formula>B25="Optional"</formula>
    </cfRule>
    <cfRule type="expression" dxfId="12" priority="8">
      <formula>B25="Not yet"</formula>
    </cfRule>
  </conditionalFormatting>
  <conditionalFormatting sqref="B5:I5">
    <cfRule type="expression" dxfId="11" priority="1">
      <formula>AND(ISNUMBER(B5),B5&lt;0)</formula>
    </cfRule>
  </conditionalFormatting>
  <conditionalFormatting sqref="B9:I9">
    <cfRule type="expression" dxfId="10" priority="2">
      <formula>AND(ISNUMBER(B9),B9&lt;0)</formula>
    </cfRule>
  </conditionalFormatting>
  <conditionalFormatting sqref="F15:I22">
    <cfRule type="expression" dxfId="9" priority="3">
      <formula>AND(ISNUMBER(F15),F15&lt;0)</formula>
    </cfRule>
  </conditionalFormatting>
  <printOptions horizontalCentered="1"/>
  <pageMargins left="0.4" right="0.4" top="0.5" bottom="0.5" header="0.25" footer="0.25"/>
  <pageSetup paperSize="9" orientation="portrait"/>
  <headerFooter>
    <oddFooter>&amp;L&amp;7 &amp;K6A727CTemplate: Shog Corporate Training · training.shogconsulting.com&amp;R&amp;7 &amp;K6A727CPage &amp;P of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071BA"/>
    <pageSetUpPr fitToPage="1"/>
  </sheetPr>
  <dimension ref="A1:F67"/>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48" customWidth="1"/>
    <col min="3" max="6" width="16" customWidth="1"/>
    <col min="7" max="7" width="2" customWidth="1"/>
  </cols>
  <sheetData>
    <row r="1" spans="1:6" ht="30" customHeight="1" x14ac:dyDescent="0.3">
      <c r="A1" s="10" t="s">
        <v>170</v>
      </c>
    </row>
    <row r="2" spans="1:6" ht="19.95" customHeight="1" x14ac:dyDescent="0.3">
      <c r="A2" s="11" t="s">
        <v>171</v>
      </c>
      <c r="B2" s="12"/>
      <c r="C2" s="12"/>
      <c r="D2" s="12"/>
      <c r="E2" s="12"/>
      <c r="F2" s="12"/>
    </row>
    <row r="4" spans="1:6" ht="30" customHeight="1" x14ac:dyDescent="0.3">
      <c r="B4" s="32" t="str">
        <f>Currency&amp;", excluding VAT"</f>
        <v>AED, excluding VAT</v>
      </c>
      <c r="C4" s="27" t="s">
        <v>152</v>
      </c>
      <c r="D4" s="16" t="str">
        <f>"Year 1 ("&amp;(FirstYear+0)&amp;")"</f>
        <v>Year 1 (2027)</v>
      </c>
      <c r="E4" s="16" t="str">
        <f>"Year 2 ("&amp;(FirstYear+1)&amp;")"</f>
        <v>Year 2 (2028)</v>
      </c>
      <c r="F4" s="16" t="str">
        <f>"Year 3 ("&amp;(FirstYear+2)&amp;")"</f>
        <v>Year 3 (2029)</v>
      </c>
    </row>
    <row r="5" spans="1:6" ht="19.95" customHeight="1" x14ac:dyDescent="0.3">
      <c r="B5" s="25" t="s">
        <v>172</v>
      </c>
      <c r="C5" s="26"/>
      <c r="D5" s="26"/>
      <c r="E5" s="26"/>
      <c r="F5" s="26"/>
    </row>
    <row r="6" spans="1:6" ht="16.95" customHeight="1" x14ac:dyDescent="0.3">
      <c r="B6" s="33" t="str">
        <f>IF(Inputs!$B13="","",Inputs!$B13&amp;IF(Inputs!$C13="",""," ("&amp;Inputs!$C13&amp;")"))</f>
        <v>Hot and cold drinks (cup)</v>
      </c>
      <c r="D6" s="34">
        <f>IF(AND(Inputs!$B13="",Inputs!$D13="",Inputs!$E13=""),"",N(Inputs!$E13))</f>
        <v>54000</v>
      </c>
      <c r="E6" s="34">
        <f>IF(AND(Inputs!$B13="",Inputs!$D13="",Inputs!$E13=""),"",D6*(1+N(Inputs!$F13)))</f>
        <v>62099.999999999993</v>
      </c>
      <c r="F6" s="34">
        <f>IF(AND(Inputs!$B13="",Inputs!$D13="",Inputs!$E13=""),"",E6*(1+N(Inputs!$G13)))</f>
        <v>68310</v>
      </c>
    </row>
    <row r="7" spans="1:6" ht="16.95" customHeight="1" x14ac:dyDescent="0.3">
      <c r="B7" s="33" t="str">
        <f>IF(Inputs!$B14="","",Inputs!$B14&amp;IF(Inputs!$C14="",""," ("&amp;Inputs!$C14&amp;")"))</f>
        <v>Food and pastries (item)</v>
      </c>
      <c r="D7" s="34">
        <f>IF(AND(Inputs!$B14="",Inputs!$D14="",Inputs!$E14=""),"",N(Inputs!$E14))</f>
        <v>25000</v>
      </c>
      <c r="E7" s="34">
        <f>IF(AND(Inputs!$B14="",Inputs!$D14="",Inputs!$E14=""),"",D7*(1+N(Inputs!$F14)))</f>
        <v>28749.999999999996</v>
      </c>
      <c r="F7" s="34">
        <f>IF(AND(Inputs!$B14="",Inputs!$D14="",Inputs!$E14=""),"",E7*(1+N(Inputs!$G14)))</f>
        <v>31625</v>
      </c>
    </row>
    <row r="8" spans="1:6" ht="16.95" customHeight="1" x14ac:dyDescent="0.3">
      <c r="B8" s="33" t="str">
        <f>IF(Inputs!$B15="","",Inputs!$B15&amp;IF(Inputs!$C15="",""," ("&amp;Inputs!$C15&amp;")"))</f>
        <v>Coffee beans to take home (bag)</v>
      </c>
      <c r="D8" s="34">
        <f>IF(AND(Inputs!$B15="",Inputs!$D15="",Inputs!$E15=""),"",N(Inputs!$E15))</f>
        <v>1800</v>
      </c>
      <c r="E8" s="34">
        <f>IF(AND(Inputs!$B15="",Inputs!$D15="",Inputs!$E15=""),"",D8*(1+N(Inputs!$F15)))</f>
        <v>2160</v>
      </c>
      <c r="F8" s="34">
        <f>IF(AND(Inputs!$B15="",Inputs!$D15="",Inputs!$E15=""),"",E8*(1+N(Inputs!$G15)))</f>
        <v>2484</v>
      </c>
    </row>
    <row r="9" spans="1:6" ht="16.95" customHeight="1" x14ac:dyDescent="0.3">
      <c r="B9" s="33" t="str">
        <f>IF(Inputs!$B16="","",Inputs!$B16&amp;IF(Inputs!$C16="",""," ("&amp;Inputs!$C16&amp;")"))</f>
        <v>Office catering orders (order)</v>
      </c>
      <c r="D9" s="34">
        <f>IF(AND(Inputs!$B16="",Inputs!$D16="",Inputs!$E16=""),"",N(Inputs!$E16))</f>
        <v>60</v>
      </c>
      <c r="E9" s="34">
        <f>IF(AND(Inputs!$B16="",Inputs!$D16="",Inputs!$E16=""),"",D9*(1+N(Inputs!$F16)))</f>
        <v>75</v>
      </c>
      <c r="F9" s="34">
        <f>IF(AND(Inputs!$B16="",Inputs!$D16="",Inputs!$E16=""),"",E9*(1+N(Inputs!$G16)))</f>
        <v>90</v>
      </c>
    </row>
    <row r="10" spans="1:6" ht="16.95" customHeight="1" x14ac:dyDescent="0.3">
      <c r="B10" s="33" t="str">
        <f>IF(Inputs!$B17="","",Inputs!$B17&amp;IF(Inputs!$C17="",""," ("&amp;Inputs!$C17&amp;")"))</f>
        <v/>
      </c>
      <c r="D10" s="34" t="str">
        <f>IF(AND(Inputs!$B17="",Inputs!$D17="",Inputs!$E17=""),"",N(Inputs!$E17))</f>
        <v/>
      </c>
      <c r="E10" s="34" t="str">
        <f>IF(AND(Inputs!$B17="",Inputs!$D17="",Inputs!$E17=""),"",D10*(1+N(Inputs!$F17)))</f>
        <v/>
      </c>
      <c r="F10" s="34" t="str">
        <f>IF(AND(Inputs!$B17="",Inputs!$D17="",Inputs!$E17=""),"",E10*(1+N(Inputs!$G17)))</f>
        <v/>
      </c>
    </row>
    <row r="11" spans="1:6" ht="16.95" customHeight="1" x14ac:dyDescent="0.3"/>
    <row r="12" spans="1:6" ht="19.95" customHeight="1" x14ac:dyDescent="0.3">
      <c r="B12" s="25" t="s">
        <v>153</v>
      </c>
      <c r="C12" s="26"/>
      <c r="D12" s="26"/>
      <c r="E12" s="26"/>
      <c r="F12" s="26"/>
    </row>
    <row r="13" spans="1:6" ht="16.95" customHeight="1" x14ac:dyDescent="0.3">
      <c r="B13" s="33" t="str">
        <f>IF(Inputs!$B13="","",Inputs!$B13)</f>
        <v>Hot and cold drinks</v>
      </c>
      <c r="D13" s="34">
        <f>IF(AND(Inputs!$B13="",Inputs!$D13="",Inputs!$E13=""),"",D6*N(Inputs!$D13)*(1+PriceInc)^0)</f>
        <v>972000</v>
      </c>
      <c r="E13" s="34">
        <f>IF(AND(Inputs!$B13="",Inputs!$D13="",Inputs!$E13=""),"",E6*N(Inputs!$D13)*(1+PriceInc)^1)</f>
        <v>1151333.9999999998</v>
      </c>
      <c r="F13" s="34">
        <f>IF(AND(Inputs!$B13="",Inputs!$D13="",Inputs!$E13=""),"",F6*N(Inputs!$D13)*(1+PriceInc)^2)</f>
        <v>1304461.422</v>
      </c>
    </row>
    <row r="14" spans="1:6" ht="16.95" customHeight="1" x14ac:dyDescent="0.3">
      <c r="B14" s="33" t="str">
        <f>IF(Inputs!$B14="","",Inputs!$B14)</f>
        <v>Food and pastries</v>
      </c>
      <c r="D14" s="34">
        <f>IF(AND(Inputs!$B14="",Inputs!$D14="",Inputs!$E14=""),"",D7*N(Inputs!$D14)*(1+PriceInc)^0)</f>
        <v>550000</v>
      </c>
      <c r="E14" s="34">
        <f>IF(AND(Inputs!$B14="",Inputs!$D14="",Inputs!$E14=""),"",E7*N(Inputs!$D14)*(1+PriceInc)^1)</f>
        <v>651474.99999999988</v>
      </c>
      <c r="F14" s="34">
        <f>IF(AND(Inputs!$B14="",Inputs!$D14="",Inputs!$E14=""),"",F7*N(Inputs!$D14)*(1+PriceInc)^2)</f>
        <v>738121.17499999993</v>
      </c>
    </row>
    <row r="15" spans="1:6" ht="16.95" customHeight="1" x14ac:dyDescent="0.3">
      <c r="B15" s="33" t="str">
        <f>IF(Inputs!$B15="","",Inputs!$B15)</f>
        <v>Coffee beans to take home</v>
      </c>
      <c r="D15" s="34">
        <f>IF(AND(Inputs!$B15="",Inputs!$D15="",Inputs!$E15=""),"",D8*N(Inputs!$D15)*(1+PriceInc)^0)</f>
        <v>135000</v>
      </c>
      <c r="E15" s="34">
        <f>IF(AND(Inputs!$B15="",Inputs!$D15="",Inputs!$E15=""),"",E8*N(Inputs!$D15)*(1+PriceInc)^1)</f>
        <v>166860</v>
      </c>
      <c r="F15" s="34">
        <f>IF(AND(Inputs!$B15="",Inputs!$D15="",Inputs!$E15=""),"",F8*N(Inputs!$D15)*(1+PriceInc)^2)</f>
        <v>197645.66999999998</v>
      </c>
    </row>
    <row r="16" spans="1:6" ht="16.95" customHeight="1" x14ac:dyDescent="0.3">
      <c r="B16" s="33" t="str">
        <f>IF(Inputs!$B16="","",Inputs!$B16)</f>
        <v>Office catering orders</v>
      </c>
      <c r="D16" s="34">
        <f>IF(AND(Inputs!$B16="",Inputs!$D16="",Inputs!$E16=""),"",D9*N(Inputs!$D16)*(1+PriceInc)^0)</f>
        <v>72000</v>
      </c>
      <c r="E16" s="34">
        <f>IF(AND(Inputs!$B16="",Inputs!$D16="",Inputs!$E16=""),"",E9*N(Inputs!$D16)*(1+PriceInc)^1)</f>
        <v>92700</v>
      </c>
      <c r="F16" s="34">
        <f>IF(AND(Inputs!$B16="",Inputs!$D16="",Inputs!$E16=""),"",F9*N(Inputs!$D16)*(1+PriceInc)^2)</f>
        <v>114577.2</v>
      </c>
    </row>
    <row r="17" spans="2:6" ht="16.95" customHeight="1" x14ac:dyDescent="0.3">
      <c r="B17" s="33" t="str">
        <f>IF(Inputs!$B17="","",Inputs!$B17)</f>
        <v/>
      </c>
      <c r="D17" s="34" t="str">
        <f>IF(AND(Inputs!$B17="",Inputs!$D17="",Inputs!$E17=""),"",D10*N(Inputs!$D17)*(1+PriceInc)^0)</f>
        <v/>
      </c>
      <c r="E17" s="34" t="str">
        <f>IF(AND(Inputs!$B17="",Inputs!$D17="",Inputs!$E17=""),"",E10*N(Inputs!$D17)*(1+PriceInc)^1)</f>
        <v/>
      </c>
      <c r="F17" s="34" t="str">
        <f>IF(AND(Inputs!$B17="",Inputs!$D17="",Inputs!$E17=""),"",F10*N(Inputs!$D17)*(1+PriceInc)^2)</f>
        <v/>
      </c>
    </row>
    <row r="18" spans="2:6" ht="16.95" customHeight="1" x14ac:dyDescent="0.3">
      <c r="B18" s="35" t="s">
        <v>173</v>
      </c>
      <c r="C18" s="36">
        <f>SUM(C13:C17)</f>
        <v>0</v>
      </c>
      <c r="D18" s="36">
        <f>SUM(D13:D17)</f>
        <v>1729000</v>
      </c>
      <c r="E18" s="36">
        <f>SUM(E13:E17)</f>
        <v>2062368.9999999995</v>
      </c>
      <c r="F18" s="36">
        <f>SUM(F13:F17)</f>
        <v>2354805.4670000002</v>
      </c>
    </row>
    <row r="19" spans="2:6" ht="16.95" customHeight="1" x14ac:dyDescent="0.3"/>
    <row r="20" spans="2:6" ht="19.95" customHeight="1" x14ac:dyDescent="0.3">
      <c r="B20" s="25" t="s">
        <v>174</v>
      </c>
      <c r="C20" s="26"/>
      <c r="D20" s="26"/>
      <c r="E20" s="26"/>
      <c r="F20" s="26"/>
    </row>
    <row r="21" spans="2:6" ht="16.95" customHeight="1" x14ac:dyDescent="0.3">
      <c r="B21" s="33" t="str">
        <f>IF(Inputs!$B13="","",Inputs!$B13)</f>
        <v>Hot and cold drinks</v>
      </c>
      <c r="D21" s="34">
        <f>IF(AND(Inputs!$B13="",Inputs!$D13="",Inputs!$E13=""),"",D6*N(Inputs!$H13)*(1+CostInc)^0)</f>
        <v>243000</v>
      </c>
      <c r="E21" s="34">
        <f>IF(AND(Inputs!$B13="",Inputs!$D13="",Inputs!$E13=""),"",E6*N(Inputs!$H13)*(1+CostInc)^1)</f>
        <v>287833.49999999994</v>
      </c>
      <c r="F21" s="34">
        <f>IF(AND(Inputs!$B13="",Inputs!$D13="",Inputs!$E13=""),"",F6*N(Inputs!$H13)*(1+CostInc)^2)</f>
        <v>326115.35550000001</v>
      </c>
    </row>
    <row r="22" spans="2:6" ht="16.95" customHeight="1" x14ac:dyDescent="0.3">
      <c r="B22" s="33" t="str">
        <f>IF(Inputs!$B14="","",Inputs!$B14)</f>
        <v>Food and pastries</v>
      </c>
      <c r="D22" s="34">
        <f>IF(AND(Inputs!$B14="",Inputs!$D14="",Inputs!$E14=""),"",D7*N(Inputs!$H14)*(1+CostInc)^0)</f>
        <v>200000</v>
      </c>
      <c r="E22" s="34">
        <f>IF(AND(Inputs!$B14="",Inputs!$D14="",Inputs!$E14=""),"",E7*N(Inputs!$H14)*(1+CostInc)^1)</f>
        <v>236899.99999999997</v>
      </c>
      <c r="F22" s="34">
        <f>IF(AND(Inputs!$B14="",Inputs!$D14="",Inputs!$E14=""),"",F7*N(Inputs!$H14)*(1+CostInc)^2)</f>
        <v>268407.7</v>
      </c>
    </row>
    <row r="23" spans="2:6" ht="16.95" customHeight="1" x14ac:dyDescent="0.3">
      <c r="B23" s="33" t="str">
        <f>IF(Inputs!$B15="","",Inputs!$B15)</f>
        <v>Coffee beans to take home</v>
      </c>
      <c r="D23" s="34">
        <f>IF(AND(Inputs!$B15="",Inputs!$D15="",Inputs!$E15=""),"",D8*N(Inputs!$H15)*(1+CostInc)^0)</f>
        <v>63000</v>
      </c>
      <c r="E23" s="34">
        <f>IF(AND(Inputs!$B15="",Inputs!$D15="",Inputs!$E15=""),"",E8*N(Inputs!$H15)*(1+CostInc)^1)</f>
        <v>77868</v>
      </c>
      <c r="F23" s="34">
        <f>IF(AND(Inputs!$B15="",Inputs!$D15="",Inputs!$E15=""),"",F8*N(Inputs!$H15)*(1+CostInc)^2)</f>
        <v>92234.645999999993</v>
      </c>
    </row>
    <row r="24" spans="2:6" ht="16.95" customHeight="1" x14ac:dyDescent="0.3">
      <c r="B24" s="33" t="str">
        <f>IF(Inputs!$B16="","",Inputs!$B16)</f>
        <v>Office catering orders</v>
      </c>
      <c r="D24" s="34">
        <f>IF(AND(Inputs!$B16="",Inputs!$D16="",Inputs!$E16=""),"",D9*N(Inputs!$H16)*(1+CostInc)^0)</f>
        <v>36000</v>
      </c>
      <c r="E24" s="34">
        <f>IF(AND(Inputs!$B16="",Inputs!$D16="",Inputs!$E16=""),"",E9*N(Inputs!$H16)*(1+CostInc)^1)</f>
        <v>46350</v>
      </c>
      <c r="F24" s="34">
        <f>IF(AND(Inputs!$B16="",Inputs!$D16="",Inputs!$E16=""),"",F9*N(Inputs!$H16)*(1+CostInc)^2)</f>
        <v>57288.6</v>
      </c>
    </row>
    <row r="25" spans="2:6" ht="16.95" customHeight="1" x14ac:dyDescent="0.3">
      <c r="B25" s="33" t="str">
        <f>IF(Inputs!$B17="","",Inputs!$B17)</f>
        <v/>
      </c>
      <c r="D25" s="34" t="str">
        <f>IF(AND(Inputs!$B17="",Inputs!$D17="",Inputs!$E17=""),"",D10*N(Inputs!$H17)*(1+CostInc)^0)</f>
        <v/>
      </c>
      <c r="E25" s="34" t="str">
        <f>IF(AND(Inputs!$B17="",Inputs!$D17="",Inputs!$E17=""),"",E10*N(Inputs!$H17)*(1+CostInc)^1)</f>
        <v/>
      </c>
      <c r="F25" s="34" t="str">
        <f>IF(AND(Inputs!$B17="",Inputs!$D17="",Inputs!$E17=""),"",F10*N(Inputs!$H17)*(1+CostInc)^2)</f>
        <v/>
      </c>
    </row>
    <row r="26" spans="2:6" ht="16.95" customHeight="1" x14ac:dyDescent="0.3">
      <c r="B26" s="5" t="s">
        <v>175</v>
      </c>
      <c r="D26" s="34">
        <f>FeesPct*D18</f>
        <v>69160</v>
      </c>
      <c r="E26" s="34">
        <f>FeesPct*E18</f>
        <v>82494.75999999998</v>
      </c>
      <c r="F26" s="34">
        <f>FeesPct*F18</f>
        <v>94192.218680000005</v>
      </c>
    </row>
    <row r="27" spans="2:6" ht="16.95" customHeight="1" x14ac:dyDescent="0.3">
      <c r="B27" s="35" t="s">
        <v>176</v>
      </c>
      <c r="C27" s="36">
        <f>SUM(C21:C26)</f>
        <v>0</v>
      </c>
      <c r="D27" s="36">
        <f>SUM(D21:D26)</f>
        <v>611160</v>
      </c>
      <c r="E27" s="36">
        <f>SUM(E21:E26)</f>
        <v>731446.25999999989</v>
      </c>
      <c r="F27" s="36">
        <f>SUM(F21:F26)</f>
        <v>838238.52017999999</v>
      </c>
    </row>
    <row r="28" spans="2:6" ht="16.95" customHeight="1" x14ac:dyDescent="0.3">
      <c r="B28" s="37" t="s">
        <v>162</v>
      </c>
      <c r="C28" s="38">
        <f>C18-C27</f>
        <v>0</v>
      </c>
      <c r="D28" s="38">
        <f>D18-D27</f>
        <v>1117840</v>
      </c>
      <c r="E28" s="38">
        <f>E18-E27</f>
        <v>1330922.7399999998</v>
      </c>
      <c r="F28" s="38">
        <f>F18-F27</f>
        <v>1516566.9468200002</v>
      </c>
    </row>
    <row r="29" spans="2:6" ht="16.95" customHeight="1" x14ac:dyDescent="0.3">
      <c r="B29" s="39" t="s">
        <v>163</v>
      </c>
      <c r="C29" s="40" t="str">
        <f>IF(C18=0,"",C28/C18)</f>
        <v/>
      </c>
      <c r="D29" s="40">
        <f>IF(D18=0,"",D28/D18)</f>
        <v>0.64652400231347595</v>
      </c>
      <c r="E29" s="40">
        <f>IF(E18=0,"",E28/E18)</f>
        <v>0.64533686260800083</v>
      </c>
      <c r="F29" s="40">
        <f>IF(F18=0,"",F28/F18)</f>
        <v>0.64403067177862983</v>
      </c>
    </row>
    <row r="30" spans="2:6" ht="16.95" customHeight="1" x14ac:dyDescent="0.3"/>
    <row r="31" spans="2:6" ht="19.95" customHeight="1" x14ac:dyDescent="0.3">
      <c r="B31" s="25" t="s">
        <v>177</v>
      </c>
      <c r="C31" s="26"/>
      <c r="D31" s="26"/>
      <c r="E31" s="26"/>
      <c r="F31" s="26"/>
    </row>
    <row r="32" spans="2:6" ht="16.95" customHeight="1" x14ac:dyDescent="0.3">
      <c r="B32" s="39" t="s">
        <v>178</v>
      </c>
      <c r="D32" s="41">
        <f>SUM(Inputs!D$25:D$32)</f>
        <v>8</v>
      </c>
      <c r="E32" s="41">
        <f>SUM(Inputs!E$25:E$32)</f>
        <v>9</v>
      </c>
      <c r="F32" s="41">
        <f>SUM(Inputs!F$25:F$32)</f>
        <v>9</v>
      </c>
    </row>
    <row r="33" spans="2:6" ht="16.95" customHeight="1" x14ac:dyDescent="0.3">
      <c r="B33" s="5" t="s">
        <v>179</v>
      </c>
      <c r="D33" s="34">
        <f>SUMPRODUCT(Inputs!$C$25:$C$32,Inputs!D$25:D$32)*12*(1+PayRise)^0</f>
        <v>481200</v>
      </c>
      <c r="E33" s="34">
        <f>SUMPRODUCT(Inputs!$C$25:$C$32,Inputs!E$25:E$32)*12*(1+PayRise)^1</f>
        <v>551256</v>
      </c>
      <c r="F33" s="34">
        <f>SUMPRODUCT(Inputs!$C$25:$C$32,Inputs!F$25:F$32)*12*(1+PayRise)^2</f>
        <v>567793.67999999993</v>
      </c>
    </row>
    <row r="34" spans="2:6" ht="16.95" customHeight="1" x14ac:dyDescent="0.3">
      <c r="B34" s="5" t="s">
        <v>180</v>
      </c>
      <c r="D34" s="34">
        <f>D33*BasicShare*GratuityDays/360</f>
        <v>16842</v>
      </c>
      <c r="E34" s="34">
        <f>E33*BasicShare*GratuityDays/360</f>
        <v>19293.96</v>
      </c>
      <c r="F34" s="34">
        <f>F33*BasicShare*GratuityDays/360</f>
        <v>19872.778799999996</v>
      </c>
    </row>
    <row r="35" spans="2:6" ht="16.95" customHeight="1" x14ac:dyDescent="0.3">
      <c r="B35" s="5" t="s">
        <v>181</v>
      </c>
      <c r="D35" s="34">
        <f>D32*MedicalPP</f>
        <v>20000</v>
      </c>
      <c r="E35" s="34">
        <f>E32*MedicalPP</f>
        <v>22500</v>
      </c>
      <c r="F35" s="34">
        <f>F32*MedicalPP</f>
        <v>22500</v>
      </c>
    </row>
    <row r="36" spans="2:6" ht="16.95" customHeight="1" x14ac:dyDescent="0.3">
      <c r="B36" s="5" t="s">
        <v>182</v>
      </c>
      <c r="D36" s="34">
        <f>SUM(Inputs!D$25:D$32)*VisaPerHire</f>
        <v>48000</v>
      </c>
      <c r="E36" s="34">
        <f>SUMPRODUCT((Inputs!E$25:E$32-Inputs!D$25:D$32)*(Inputs!E$25:E$32&gt;Inputs!D$25:D$32))*VisaPerHire</f>
        <v>6000</v>
      </c>
      <c r="F36" s="34">
        <f>SUMPRODUCT((Inputs!F$25:F$32-Inputs!E$25:E$32)*(Inputs!F$25:F$32&gt;Inputs!E$25:E$32))*VisaPerHire</f>
        <v>0</v>
      </c>
    </row>
    <row r="37" spans="2:6" ht="16.95" customHeight="1" x14ac:dyDescent="0.3">
      <c r="B37" s="35" t="s">
        <v>183</v>
      </c>
      <c r="C37" s="36">
        <f>SUM(C33:C36)</f>
        <v>0</v>
      </c>
      <c r="D37" s="36">
        <f>SUM(D33:D36)</f>
        <v>566042</v>
      </c>
      <c r="E37" s="36">
        <f>SUM(E33:E36)</f>
        <v>599049.96</v>
      </c>
      <c r="F37" s="36">
        <f>SUM(F33:F36)</f>
        <v>610166.45879999991</v>
      </c>
    </row>
    <row r="38" spans="2:6" ht="16.95" customHeight="1" x14ac:dyDescent="0.3"/>
    <row r="39" spans="2:6" ht="19.95" customHeight="1" x14ac:dyDescent="0.3">
      <c r="B39" s="25" t="s">
        <v>184</v>
      </c>
      <c r="C39" s="26"/>
      <c r="D39" s="26"/>
      <c r="E39" s="26"/>
      <c r="F39" s="26"/>
    </row>
    <row r="40" spans="2:6" ht="16.95" customHeight="1" x14ac:dyDescent="0.3">
      <c r="B40" s="33" t="str">
        <f>IF(Inputs!$B42="","",Inputs!$B42)</f>
        <v>Rent</v>
      </c>
      <c r="D40" s="34">
        <f>IF(AND(Inputs!$B42="",Inputs!$C42=""),"",N(Inputs!$C42)*(1+N(Inputs!$D42))^0)</f>
        <v>180000</v>
      </c>
      <c r="E40" s="34">
        <f>IF(AND(Inputs!$B42="",Inputs!$C42=""),"",N(Inputs!$C42)*(1+N(Inputs!$D42))^1)</f>
        <v>189000</v>
      </c>
      <c r="F40" s="34">
        <f>IF(AND(Inputs!$B42="",Inputs!$C42=""),"",N(Inputs!$C42)*(1+N(Inputs!$D42))^2)</f>
        <v>198450</v>
      </c>
    </row>
    <row r="41" spans="2:6" ht="16.95" customHeight="1" x14ac:dyDescent="0.3">
      <c r="B41" s="33" t="str">
        <f>IF(Inputs!$B43="","",Inputs!$B43)</f>
        <v>Electricity, water and internet</v>
      </c>
      <c r="D41" s="34">
        <f>IF(AND(Inputs!$B43="",Inputs!$C43=""),"",N(Inputs!$C43)*(1+N(Inputs!$D43))^0)</f>
        <v>54000</v>
      </c>
      <c r="E41" s="34">
        <f>IF(AND(Inputs!$B43="",Inputs!$C43=""),"",N(Inputs!$C43)*(1+N(Inputs!$D43))^1)</f>
        <v>55620</v>
      </c>
      <c r="F41" s="34">
        <f>IF(AND(Inputs!$B43="",Inputs!$C43=""),"",N(Inputs!$C43)*(1+N(Inputs!$D43))^2)</f>
        <v>57288.6</v>
      </c>
    </row>
    <row r="42" spans="2:6" ht="16.95" customHeight="1" x14ac:dyDescent="0.3">
      <c r="B42" s="33" t="str">
        <f>IF(Inputs!$B44="","",Inputs!$B44)</f>
        <v>Trade licence and permits</v>
      </c>
      <c r="D42" s="34">
        <f>IF(AND(Inputs!$B44="",Inputs!$C44=""),"",N(Inputs!$C44)*(1+N(Inputs!$D44))^0)</f>
        <v>25000</v>
      </c>
      <c r="E42" s="34">
        <f>IF(AND(Inputs!$B44="",Inputs!$C44=""),"",N(Inputs!$C44)*(1+N(Inputs!$D44))^1)</f>
        <v>25000</v>
      </c>
      <c r="F42" s="34">
        <f>IF(AND(Inputs!$B44="",Inputs!$C44=""),"",N(Inputs!$C44)*(1+N(Inputs!$D44))^2)</f>
        <v>25000</v>
      </c>
    </row>
    <row r="43" spans="2:6" ht="16.95" customHeight="1" x14ac:dyDescent="0.3">
      <c r="B43" s="33" t="str">
        <f>IF(Inputs!$B45="","",Inputs!$B45)</f>
        <v>Marketing and advertising</v>
      </c>
      <c r="D43" s="34">
        <f>IF(AND(Inputs!$B45="",Inputs!$C45=""),"",N(Inputs!$C45)*(1+N(Inputs!$D45))^0)</f>
        <v>60000</v>
      </c>
      <c r="E43" s="34">
        <f>IF(AND(Inputs!$B45="",Inputs!$C45=""),"",N(Inputs!$C45)*(1+N(Inputs!$D45))^1)</f>
        <v>63000</v>
      </c>
      <c r="F43" s="34">
        <f>IF(AND(Inputs!$B45="",Inputs!$C45=""),"",N(Inputs!$C45)*(1+N(Inputs!$D45))^2)</f>
        <v>66150</v>
      </c>
    </row>
    <row r="44" spans="2:6" ht="16.95" customHeight="1" x14ac:dyDescent="0.3">
      <c r="B44" s="33" t="str">
        <f>IF(Inputs!$B46="","",Inputs!$B46)</f>
        <v>Software, till system and delivery apps</v>
      </c>
      <c r="D44" s="34">
        <f>IF(AND(Inputs!$B46="",Inputs!$C46=""),"",N(Inputs!$C46)*(1+N(Inputs!$D46))^0)</f>
        <v>30000</v>
      </c>
      <c r="E44" s="34">
        <f>IF(AND(Inputs!$B46="",Inputs!$C46=""),"",N(Inputs!$C46)*(1+N(Inputs!$D46))^1)</f>
        <v>30900</v>
      </c>
      <c r="F44" s="34">
        <f>IF(AND(Inputs!$B46="",Inputs!$C46=""),"",N(Inputs!$C46)*(1+N(Inputs!$D46))^2)</f>
        <v>31827</v>
      </c>
    </row>
    <row r="45" spans="2:6" ht="16.95" customHeight="1" x14ac:dyDescent="0.3">
      <c r="B45" s="33" t="str">
        <f>IF(Inputs!$B47="","",Inputs!$B47)</f>
        <v>Insurance</v>
      </c>
      <c r="D45" s="34">
        <f>IF(AND(Inputs!$B47="",Inputs!$C47=""),"",N(Inputs!$C47)*(1+N(Inputs!$D47))^0)</f>
        <v>8000</v>
      </c>
      <c r="E45" s="34">
        <f>IF(AND(Inputs!$B47="",Inputs!$C47=""),"",N(Inputs!$C47)*(1+N(Inputs!$D47))^1)</f>
        <v>8240</v>
      </c>
      <c r="F45" s="34">
        <f>IF(AND(Inputs!$B47="",Inputs!$C47=""),"",N(Inputs!$C47)*(1+N(Inputs!$D47))^2)</f>
        <v>8487.1999999999989</v>
      </c>
    </row>
    <row r="46" spans="2:6" ht="16.95" customHeight="1" x14ac:dyDescent="0.3">
      <c r="B46" s="33" t="str">
        <f>IF(Inputs!$B48="","",Inputs!$B48)</f>
        <v>Accounting and audit</v>
      </c>
      <c r="D46" s="34">
        <f>IF(AND(Inputs!$B48="",Inputs!$C48=""),"",N(Inputs!$C48)*(1+N(Inputs!$D48))^0)</f>
        <v>18000</v>
      </c>
      <c r="E46" s="34">
        <f>IF(AND(Inputs!$B48="",Inputs!$C48=""),"",N(Inputs!$C48)*(1+N(Inputs!$D48))^1)</f>
        <v>18540</v>
      </c>
      <c r="F46" s="34">
        <f>IF(AND(Inputs!$B48="",Inputs!$C48=""),"",N(Inputs!$C48)*(1+N(Inputs!$D48))^2)</f>
        <v>19096.2</v>
      </c>
    </row>
    <row r="47" spans="2:6" ht="16.95" customHeight="1" x14ac:dyDescent="0.3">
      <c r="B47" s="33" t="str">
        <f>IF(Inputs!$B49="","",Inputs!$B49)</f>
        <v>Maintenance and cleaning</v>
      </c>
      <c r="D47" s="34">
        <f>IF(AND(Inputs!$B49="",Inputs!$C49=""),"",N(Inputs!$C49)*(1+N(Inputs!$D49))^0)</f>
        <v>24000</v>
      </c>
      <c r="E47" s="34">
        <f>IF(AND(Inputs!$B49="",Inputs!$C49=""),"",N(Inputs!$C49)*(1+N(Inputs!$D49))^1)</f>
        <v>24720</v>
      </c>
      <c r="F47" s="34">
        <f>IF(AND(Inputs!$B49="",Inputs!$C49=""),"",N(Inputs!$C49)*(1+N(Inputs!$D49))^2)</f>
        <v>25461.599999999999</v>
      </c>
    </row>
    <row r="48" spans="2:6" ht="16.95" customHeight="1" x14ac:dyDescent="0.3">
      <c r="B48" s="33" t="str">
        <f>IF(Inputs!$B50="","",Inputs!$B50)</f>
        <v>Other costs</v>
      </c>
      <c r="D48" s="34">
        <f>IF(AND(Inputs!$B50="",Inputs!$C50=""),"",N(Inputs!$C50)*(1+N(Inputs!$D50))^0)</f>
        <v>12000</v>
      </c>
      <c r="E48" s="34">
        <f>IF(AND(Inputs!$B50="",Inputs!$C50=""),"",N(Inputs!$C50)*(1+N(Inputs!$D50))^1)</f>
        <v>12360</v>
      </c>
      <c r="F48" s="34">
        <f>IF(AND(Inputs!$B50="",Inputs!$C50=""),"",N(Inputs!$C50)*(1+N(Inputs!$D50))^2)</f>
        <v>12730.8</v>
      </c>
    </row>
    <row r="49" spans="2:6" ht="16.95" customHeight="1" x14ac:dyDescent="0.3">
      <c r="B49" s="33" t="str">
        <f>IF(Inputs!$B51="","",Inputs!$B51)</f>
        <v/>
      </c>
      <c r="D49" s="34" t="str">
        <f>IF(AND(Inputs!$B51="",Inputs!$C51=""),"",N(Inputs!$C51)*(1+N(Inputs!$D51))^0)</f>
        <v/>
      </c>
      <c r="E49" s="34" t="str">
        <f>IF(AND(Inputs!$B51="",Inputs!$C51=""),"",N(Inputs!$C51)*(1+N(Inputs!$D51))^1)</f>
        <v/>
      </c>
      <c r="F49" s="34" t="str">
        <f>IF(AND(Inputs!$B51="",Inputs!$C51=""),"",N(Inputs!$C51)*(1+N(Inputs!$D51))^2)</f>
        <v/>
      </c>
    </row>
    <row r="50" spans="2:6" ht="16.95" customHeight="1" x14ac:dyDescent="0.3">
      <c r="B50" s="5" t="s">
        <v>185</v>
      </c>
      <c r="C50" s="34">
        <f>SUMIF(Inputs!$D$55:$D$62,"Expense",Inputs!$C$55:$C$62)</f>
        <v>65000</v>
      </c>
      <c r="D50" s="34">
        <f>0</f>
        <v>0</v>
      </c>
      <c r="E50" s="34">
        <f>0</f>
        <v>0</v>
      </c>
      <c r="F50" s="34">
        <f>0</f>
        <v>0</v>
      </c>
    </row>
    <row r="51" spans="2:6" ht="16.95" customHeight="1" x14ac:dyDescent="0.3">
      <c r="B51" s="35" t="s">
        <v>186</v>
      </c>
      <c r="C51" s="36">
        <f>SUM(C40:C50)</f>
        <v>65000</v>
      </c>
      <c r="D51" s="36">
        <f>SUM(D40:D50)</f>
        <v>411000</v>
      </c>
      <c r="E51" s="36">
        <f>SUM(E40:E50)</f>
        <v>427380</v>
      </c>
      <c r="F51" s="36">
        <f>SUM(F40:F50)</f>
        <v>444491.39999999997</v>
      </c>
    </row>
    <row r="52" spans="2:6" ht="16.95" customHeight="1" x14ac:dyDescent="0.3"/>
    <row r="53" spans="2:6" ht="16.95" customHeight="1" x14ac:dyDescent="0.3">
      <c r="B53" s="37" t="s">
        <v>187</v>
      </c>
      <c r="C53" s="38">
        <f>C28-C37-C51</f>
        <v>-65000</v>
      </c>
      <c r="D53" s="38">
        <f>D28-D37-D51</f>
        <v>140798</v>
      </c>
      <c r="E53" s="38">
        <f>E28-E37-E51</f>
        <v>304492.7799999998</v>
      </c>
      <c r="F53" s="38">
        <f>F28-F37-F51</f>
        <v>461909.08802000032</v>
      </c>
    </row>
    <row r="54" spans="2:6" ht="16.95" customHeight="1" x14ac:dyDescent="0.3">
      <c r="B54" s="5" t="s">
        <v>188</v>
      </c>
      <c r="C54" s="34">
        <f>0</f>
        <v>0</v>
      </c>
      <c r="D54" s="34">
        <f>SUMPRODUCT((Inputs!$D$55:$D$62="Asset")*(Inputs!$E$55:$E$62&gt;=1)*Inputs!$C$55:$C$62/(Inputs!$E$55:$E$62+(Inputs!$E$55:$E$62=0)))</f>
        <v>88333.333333333328</v>
      </c>
      <c r="E54" s="34">
        <f>SUMPRODUCT((Inputs!$D$55:$D$62="Asset")*(Inputs!$E$55:$E$62&gt;=2)*Inputs!$C$55:$C$62/(Inputs!$E$55:$E$62+(Inputs!$E$55:$E$62=0)))</f>
        <v>88333.333333333328</v>
      </c>
      <c r="F54" s="34">
        <f>SUMPRODUCT((Inputs!$D$55:$D$62="Asset")*(Inputs!$E$55:$E$62&gt;=3)*Inputs!$C$55:$C$62/(Inputs!$E$55:$E$62+(Inputs!$E$55:$E$62=0)))</f>
        <v>88333.333333333328</v>
      </c>
    </row>
    <row r="55" spans="2:6" ht="16.95" customHeight="1" x14ac:dyDescent="0.3">
      <c r="B55" s="35" t="s">
        <v>189</v>
      </c>
      <c r="C55" s="36">
        <f>C53-C54</f>
        <v>-65000</v>
      </c>
      <c r="D55" s="36">
        <f>D53-D54</f>
        <v>52464.666666666672</v>
      </c>
      <c r="E55" s="36">
        <f>E53-E54</f>
        <v>216159.44666666648</v>
      </c>
      <c r="F55" s="36">
        <f>F53-F54</f>
        <v>373575.754686667</v>
      </c>
    </row>
    <row r="56" spans="2:6" ht="16.95" customHeight="1" x14ac:dyDescent="0.3">
      <c r="B56" s="5" t="s">
        <v>190</v>
      </c>
      <c r="C56" s="42">
        <f>'Cash Flow'!C35</f>
        <v>0</v>
      </c>
      <c r="D56" s="42">
        <f>'Cash Flow'!D35</f>
        <v>20000</v>
      </c>
      <c r="E56" s="42">
        <f>'Cash Flow'!E35</f>
        <v>16590.87090866327</v>
      </c>
      <c r="F56" s="42">
        <f>'Cash Flow'!F35</f>
        <v>12909.011490019597</v>
      </c>
    </row>
    <row r="57" spans="2:6" ht="16.95" customHeight="1" x14ac:dyDescent="0.3">
      <c r="B57" s="37" t="s">
        <v>191</v>
      </c>
      <c r="C57" s="38">
        <f>C55-C56</f>
        <v>-65000</v>
      </c>
      <c r="D57" s="38">
        <f>D55-D56</f>
        <v>32464.666666666672</v>
      </c>
      <c r="E57" s="38">
        <f>E55-E56</f>
        <v>199568.57575800322</v>
      </c>
      <c r="F57" s="38">
        <f>F55-F56</f>
        <v>360666.74319664738</v>
      </c>
    </row>
    <row r="58" spans="2:6" ht="16.95" customHeight="1" x14ac:dyDescent="0.3"/>
    <row r="59" spans="2:6" ht="19.95" customHeight="1" x14ac:dyDescent="0.3">
      <c r="B59" s="25" t="s">
        <v>165</v>
      </c>
      <c r="C59" s="26"/>
      <c r="D59" s="26"/>
      <c r="E59" s="26"/>
      <c r="F59" s="26"/>
    </row>
    <row r="60" spans="2:6" ht="16.95" customHeight="1" x14ac:dyDescent="0.3">
      <c r="B60" s="43" t="s">
        <v>192</v>
      </c>
      <c r="C60" s="44">
        <f>0</f>
        <v>0</v>
      </c>
      <c r="D60" s="44">
        <f>C64</f>
        <v>65000</v>
      </c>
      <c r="E60" s="44">
        <f>D64</f>
        <v>40651.5</v>
      </c>
      <c r="F60" s="44">
        <f>E64</f>
        <v>0</v>
      </c>
    </row>
    <row r="61" spans="2:6" ht="16.95" customHeight="1" x14ac:dyDescent="0.3">
      <c r="B61" s="43" t="s">
        <v>193</v>
      </c>
      <c r="C61" s="44">
        <f>IF(C57&gt;0,MIN(C60,LossCap*C57),0)</f>
        <v>0</v>
      </c>
      <c r="D61" s="44">
        <f>IF(D57&gt;0,MIN(D60,LossCap*D57),0)</f>
        <v>24348.500000000004</v>
      </c>
      <c r="E61" s="44">
        <f>IF(E57&gt;0,MIN(E60,LossCap*E57),0)</f>
        <v>40651.5</v>
      </c>
      <c r="F61" s="44">
        <f>IF(F57&gt;0,MIN(F60,LossCap*F57),0)</f>
        <v>0</v>
      </c>
    </row>
    <row r="62" spans="2:6" ht="16.95" customHeight="1" x14ac:dyDescent="0.3">
      <c r="B62" s="43" t="s">
        <v>194</v>
      </c>
      <c r="C62" s="44">
        <f>MAX(0,C57-C61)</f>
        <v>0</v>
      </c>
      <c r="D62" s="44">
        <f>MAX(0,D57-D61)</f>
        <v>8116.1666666666679</v>
      </c>
      <c r="E62" s="44">
        <f>MAX(0,E57-E61)</f>
        <v>158917.07575800322</v>
      </c>
      <c r="F62" s="44">
        <f>MAX(0,F57-F61)</f>
        <v>360666.74319664738</v>
      </c>
    </row>
    <row r="63" spans="2:6" ht="16.95" customHeight="1" x14ac:dyDescent="0.3">
      <c r="B63" s="5" t="s">
        <v>165</v>
      </c>
      <c r="C63" s="34">
        <f>MAX(0,C62-TaxFree)*TaxRate</f>
        <v>0</v>
      </c>
      <c r="D63" s="34">
        <f>MAX(0,D62-TaxFree)*TaxRate</f>
        <v>0</v>
      </c>
      <c r="E63" s="34">
        <f>MAX(0,E62-TaxFree)*TaxRate</f>
        <v>0</v>
      </c>
      <c r="F63" s="34">
        <f>MAX(0,F62-TaxFree)*TaxRate</f>
        <v>0</v>
      </c>
    </row>
    <row r="64" spans="2:6" ht="16.95" customHeight="1" x14ac:dyDescent="0.3">
      <c r="B64" s="43" t="s">
        <v>195</v>
      </c>
      <c r="C64" s="44">
        <f>C60-C61+MAX(0,-C57)</f>
        <v>65000</v>
      </c>
      <c r="D64" s="44">
        <f>D60-D61+MAX(0,-D57)</f>
        <v>40651.5</v>
      </c>
      <c r="E64" s="44">
        <f>E60-E61+MAX(0,-E57)</f>
        <v>0</v>
      </c>
      <c r="F64" s="44">
        <f>F60-F61+MAX(0,-F57)</f>
        <v>0</v>
      </c>
    </row>
    <row r="65" spans="2:6" ht="16.95" customHeight="1" x14ac:dyDescent="0.3"/>
    <row r="66" spans="2:6" ht="16.95" customHeight="1" x14ac:dyDescent="0.3">
      <c r="B66" s="45" t="s">
        <v>159</v>
      </c>
      <c r="C66" s="46">
        <f>C57-C63</f>
        <v>-65000</v>
      </c>
      <c r="D66" s="46">
        <f>D57-D63</f>
        <v>32464.666666666672</v>
      </c>
      <c r="E66" s="46">
        <f>E57-E63</f>
        <v>199568.57575800322</v>
      </c>
      <c r="F66" s="46">
        <f>F57-F63</f>
        <v>360666.74319664738</v>
      </c>
    </row>
    <row r="67" spans="2:6" ht="16.95" customHeight="1" x14ac:dyDescent="0.3">
      <c r="B67" s="39" t="s">
        <v>166</v>
      </c>
      <c r="C67" s="40" t="str">
        <f>IF(C18=0,"",C66/C18)</f>
        <v/>
      </c>
      <c r="D67" s="40">
        <f>IF(D18=0,"",D66/D18)</f>
        <v>1.877655677655678E-2</v>
      </c>
      <c r="E67" s="40">
        <f>IF(E18=0,"",E66/E18)</f>
        <v>9.6766667729200381E-2</v>
      </c>
      <c r="F67" s="40">
        <f>IF(F18=0,"",F66/F18)</f>
        <v>0.1531620120009885</v>
      </c>
    </row>
  </sheetData>
  <sheetProtection sheet="1" formatCells="0" formatColumns="0" formatRows="0"/>
  <conditionalFormatting sqref="C6:F67">
    <cfRule type="expression" dxfId="8" priority="1">
      <formula>AND(ISNUMBER(C6),C6&lt;0)</formula>
    </cfRule>
  </conditionalFormatting>
  <printOptions horizontalCentered="1"/>
  <pageMargins left="0.4" right="0.4" top="0.5" bottom="0.5" header="0.25" footer="0.25"/>
  <pageSetup paperSize="9" orientation="portrait"/>
  <headerFooter>
    <oddFooter>&amp;L&amp;7 &amp;K6A727CTemplate: Shog Corporate Training · training.shogconsulting.com&amp;R&amp;7 &amp;K6A727CPage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071BA"/>
    <pageSetUpPr fitToPage="1"/>
  </sheetPr>
  <dimension ref="A1:F49"/>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2" customWidth="1"/>
    <col min="2" max="2" width="48" customWidth="1"/>
    <col min="3" max="6" width="16" customWidth="1"/>
    <col min="7" max="7" width="2" customWidth="1"/>
  </cols>
  <sheetData>
    <row r="1" spans="1:6" ht="30" customHeight="1" x14ac:dyDescent="0.3">
      <c r="A1" s="10" t="s">
        <v>196</v>
      </c>
    </row>
    <row r="2" spans="1:6" ht="19.95" customHeight="1" x14ac:dyDescent="0.3">
      <c r="A2" s="11" t="s">
        <v>197</v>
      </c>
      <c r="B2" s="12"/>
      <c r="C2" s="12"/>
      <c r="D2" s="12"/>
      <c r="E2" s="12"/>
      <c r="F2" s="12"/>
    </row>
    <row r="4" spans="1:6" ht="30" customHeight="1" x14ac:dyDescent="0.3">
      <c r="B4" s="32" t="str">
        <f>Currency&amp;", excluding VAT"</f>
        <v>AED, excluding VAT</v>
      </c>
      <c r="C4" s="27" t="s">
        <v>152</v>
      </c>
      <c r="D4" s="16" t="str">
        <f>"Year 1 ("&amp;(FirstYear+0)&amp;")"</f>
        <v>Year 1 (2027)</v>
      </c>
      <c r="E4" s="16" t="str">
        <f>"Year 2 ("&amp;(FirstYear+1)&amp;")"</f>
        <v>Year 2 (2028)</v>
      </c>
      <c r="F4" s="16" t="str">
        <f>"Year 3 ("&amp;(FirstYear+2)&amp;")"</f>
        <v>Year 3 (2029)</v>
      </c>
    </row>
    <row r="5" spans="1:6" ht="16.95" customHeight="1" x14ac:dyDescent="0.3">
      <c r="B5" s="25" t="s">
        <v>198</v>
      </c>
      <c r="C5" s="26"/>
      <c r="D5" s="26"/>
      <c r="E5" s="26"/>
      <c r="F5" s="26"/>
    </row>
    <row r="6" spans="1:6" ht="16.95" customHeight="1" x14ac:dyDescent="0.3">
      <c r="B6" s="5" t="s">
        <v>159</v>
      </c>
      <c r="C6" s="42">
        <f>Projections!C66</f>
        <v>-65000</v>
      </c>
      <c r="D6" s="42">
        <f>Projections!D66</f>
        <v>32464.666666666672</v>
      </c>
      <c r="E6" s="42">
        <f>Projections!E66</f>
        <v>199568.57575800322</v>
      </c>
      <c r="F6" s="42">
        <f>Projections!F66</f>
        <v>360666.74319664738</v>
      </c>
    </row>
    <row r="7" spans="1:6" ht="16.95" customHeight="1" x14ac:dyDescent="0.3">
      <c r="B7" s="5" t="s">
        <v>199</v>
      </c>
      <c r="C7" s="42">
        <f>Projections!C54</f>
        <v>0</v>
      </c>
      <c r="D7" s="42">
        <f>Projections!D54</f>
        <v>88333.333333333328</v>
      </c>
      <c r="E7" s="42">
        <f>Projections!E54</f>
        <v>88333.333333333328</v>
      </c>
      <c r="F7" s="42">
        <f>Projections!F54</f>
        <v>88333.333333333328</v>
      </c>
    </row>
    <row r="8" spans="1:6" ht="16.95" customHeight="1" x14ac:dyDescent="0.3">
      <c r="B8" s="5" t="s">
        <v>200</v>
      </c>
      <c r="C8" s="34">
        <f>-C30</f>
        <v>0</v>
      </c>
      <c r="D8" s="34">
        <f>-D30</f>
        <v>8063.0136986301368</v>
      </c>
      <c r="E8" s="34">
        <f>-E30</f>
        <v>1655.2479452054831</v>
      </c>
      <c r="F8" s="34">
        <f>-F30</f>
        <v>1504.4181410958845</v>
      </c>
    </row>
    <row r="9" spans="1:6" ht="16.95" customHeight="1" x14ac:dyDescent="0.3">
      <c r="B9" s="47" t="s">
        <v>198</v>
      </c>
      <c r="C9" s="36">
        <f>SUM(C6:C8)</f>
        <v>-65000</v>
      </c>
      <c r="D9" s="36">
        <f>SUM(D6:D8)</f>
        <v>128861.01369863014</v>
      </c>
      <c r="E9" s="36">
        <f>SUM(E6:E8)</f>
        <v>289557.15703654202</v>
      </c>
      <c r="F9" s="36">
        <f>SUM(F6:F8)</f>
        <v>450504.49467107659</v>
      </c>
    </row>
    <row r="10" spans="1:6" ht="16.95" customHeight="1" x14ac:dyDescent="0.3"/>
    <row r="11" spans="1:6" ht="16.95" customHeight="1" x14ac:dyDescent="0.3">
      <c r="B11" s="25" t="s">
        <v>201</v>
      </c>
      <c r="C11" s="26"/>
      <c r="D11" s="26"/>
      <c r="E11" s="26"/>
      <c r="F11" s="26"/>
    </row>
    <row r="12" spans="1:6" ht="16.95" customHeight="1" x14ac:dyDescent="0.3">
      <c r="B12" s="5" t="s">
        <v>202</v>
      </c>
      <c r="C12" s="34">
        <f>-(SUMIF(Inputs!$D$55:$D$62,"Asset",Inputs!$C$55:$C$62)+SUMIF(Inputs!$D$55:$D$62,"Deposit",Inputs!$C$55:$C$62))</f>
        <v>-443000</v>
      </c>
      <c r="D12" s="34">
        <f>0</f>
        <v>0</v>
      </c>
      <c r="E12" s="34">
        <f>0</f>
        <v>0</v>
      </c>
      <c r="F12" s="34">
        <f>0</f>
        <v>0</v>
      </c>
    </row>
    <row r="13" spans="1:6" ht="16.95" customHeight="1" x14ac:dyDescent="0.3"/>
    <row r="14" spans="1:6" ht="16.95" customHeight="1" x14ac:dyDescent="0.3">
      <c r="B14" s="25" t="s">
        <v>203</v>
      </c>
      <c r="C14" s="26"/>
      <c r="D14" s="26"/>
      <c r="E14" s="26"/>
      <c r="F14" s="26"/>
    </row>
    <row r="15" spans="1:6" ht="16.95" customHeight="1" x14ac:dyDescent="0.3">
      <c r="B15" s="5" t="s">
        <v>122</v>
      </c>
      <c r="C15" s="42">
        <f>Equity</f>
        <v>350000</v>
      </c>
      <c r="D15" s="34">
        <f>0</f>
        <v>0</v>
      </c>
      <c r="E15" s="34">
        <f>0</f>
        <v>0</v>
      </c>
      <c r="F15" s="34">
        <f>0</f>
        <v>0</v>
      </c>
    </row>
    <row r="16" spans="1:6" ht="16.95" customHeight="1" x14ac:dyDescent="0.3">
      <c r="B16" s="5" t="s">
        <v>204</v>
      </c>
      <c r="C16" s="42">
        <f>Loan</f>
        <v>250000</v>
      </c>
      <c r="D16" s="34">
        <f>0</f>
        <v>0</v>
      </c>
      <c r="E16" s="34">
        <f>0</f>
        <v>0</v>
      </c>
      <c r="F16" s="34">
        <f>0</f>
        <v>0</v>
      </c>
    </row>
    <row r="17" spans="2:6" ht="16.95" customHeight="1" x14ac:dyDescent="0.3">
      <c r="B17" s="5" t="s">
        <v>205</v>
      </c>
      <c r="C17" s="34">
        <f>-C36</f>
        <v>0</v>
      </c>
      <c r="D17" s="34">
        <f>-D36</f>
        <v>-42614.113641709147</v>
      </c>
      <c r="E17" s="34">
        <f>-E36</f>
        <v>-46023.242733045874</v>
      </c>
      <c r="F17" s="34">
        <f>-F36</f>
        <v>-49705.102151689549</v>
      </c>
    </row>
    <row r="18" spans="2:6" ht="16.95" customHeight="1" x14ac:dyDescent="0.3">
      <c r="B18" s="47" t="s">
        <v>206</v>
      </c>
      <c r="C18" s="36">
        <f>SUM(C15:C17)</f>
        <v>600000</v>
      </c>
      <c r="D18" s="36">
        <f>SUM(D15:D17)</f>
        <v>-42614.113641709147</v>
      </c>
      <c r="E18" s="36">
        <f>SUM(E15:E17)</f>
        <v>-46023.242733045874</v>
      </c>
      <c r="F18" s="36">
        <f>SUM(F15:F17)</f>
        <v>-49705.102151689549</v>
      </c>
    </row>
    <row r="19" spans="2:6" ht="16.95" customHeight="1" x14ac:dyDescent="0.3"/>
    <row r="20" spans="2:6" ht="16.95" customHeight="1" x14ac:dyDescent="0.3">
      <c r="B20" s="37" t="s">
        <v>207</v>
      </c>
      <c r="C20" s="38">
        <f>C9+C12+C18</f>
        <v>92000</v>
      </c>
      <c r="D20" s="38">
        <f>D9+D12+D18</f>
        <v>86246.900056920989</v>
      </c>
      <c r="E20" s="38">
        <f>E9+E12+E18</f>
        <v>243533.91430349613</v>
      </c>
      <c r="F20" s="38">
        <f>F9+F12+F18</f>
        <v>400799.39251938707</v>
      </c>
    </row>
    <row r="21" spans="2:6" ht="16.95" customHeight="1" x14ac:dyDescent="0.3">
      <c r="B21" s="5" t="s">
        <v>208</v>
      </c>
      <c r="C21" s="34">
        <f>0</f>
        <v>0</v>
      </c>
      <c r="D21" s="34">
        <f>C22</f>
        <v>92000</v>
      </c>
      <c r="E21" s="34">
        <f>D22</f>
        <v>178246.900056921</v>
      </c>
      <c r="F21" s="34">
        <f>E22</f>
        <v>421780.81436041713</v>
      </c>
    </row>
    <row r="22" spans="2:6" ht="16.95" customHeight="1" x14ac:dyDescent="0.3">
      <c r="B22" s="37" t="s">
        <v>160</v>
      </c>
      <c r="C22" s="38">
        <f>C21+C20</f>
        <v>92000</v>
      </c>
      <c r="D22" s="38">
        <f>D21+D20</f>
        <v>178246.900056921</v>
      </c>
      <c r="E22" s="38">
        <f>E21+E20</f>
        <v>421780.81436041713</v>
      </c>
      <c r="F22" s="38">
        <f>F21+F20</f>
        <v>822580.20687980414</v>
      </c>
    </row>
    <row r="23" spans="2:6" ht="16.95" customHeight="1" x14ac:dyDescent="0.3">
      <c r="B23" s="5" t="s">
        <v>209</v>
      </c>
      <c r="C23" s="48" t="str">
        <f>IF(C22&lt;MinCash,"Below minimum","OK")</f>
        <v>OK</v>
      </c>
      <c r="D23" s="48" t="str">
        <f>IF(D22&lt;MinCash,"Below minimum","OK")</f>
        <v>OK</v>
      </c>
      <c r="E23" s="48" t="str">
        <f>IF(E22&lt;MinCash,"Below minimum","OK")</f>
        <v>OK</v>
      </c>
      <c r="F23" s="48" t="str">
        <f>IF(F22&lt;MinCash,"Below minimum","OK")</f>
        <v>OK</v>
      </c>
    </row>
    <row r="24" spans="2:6" ht="16.95" customHeight="1" x14ac:dyDescent="0.3"/>
    <row r="25" spans="2:6" ht="16.95" customHeight="1" x14ac:dyDescent="0.3">
      <c r="B25" s="25" t="s">
        <v>210</v>
      </c>
      <c r="C25" s="26"/>
      <c r="D25" s="26"/>
      <c r="E25" s="26"/>
      <c r="F25" s="26"/>
    </row>
    <row r="26" spans="2:6" ht="16.95" customHeight="1" x14ac:dyDescent="0.3">
      <c r="B26" s="5" t="s">
        <v>211</v>
      </c>
      <c r="C26" s="34">
        <f>0</f>
        <v>0</v>
      </c>
      <c r="D26" s="34">
        <f>Projections!D18*DebtorDays/365</f>
        <v>14210.95890410959</v>
      </c>
      <c r="E26" s="34">
        <f>Projections!E18*DebtorDays/365</f>
        <v>16950.978082191778</v>
      </c>
      <c r="F26" s="34">
        <f>Projections!F18*DebtorDays/365</f>
        <v>19354.565482191781</v>
      </c>
    </row>
    <row r="27" spans="2:6" ht="16.95" customHeight="1" x14ac:dyDescent="0.3">
      <c r="B27" s="5" t="s">
        <v>212</v>
      </c>
      <c r="C27" s="34">
        <f>0</f>
        <v>0</v>
      </c>
      <c r="D27" s="34">
        <f>SUM(Projections!D21:D25)*StockDays/365</f>
        <v>22273.972602739726</v>
      </c>
      <c r="E27" s="34">
        <f>SUM(Projections!E21:E25)*StockDays/365</f>
        <v>26669.239726027394</v>
      </c>
      <c r="F27" s="34">
        <f>SUM(Projections!F21:F25)*StockDays/365</f>
        <v>30577.245267123286</v>
      </c>
    </row>
    <row r="28" spans="2:6" ht="16.95" customHeight="1" x14ac:dyDescent="0.3">
      <c r="B28" s="5" t="s">
        <v>213</v>
      </c>
      <c r="C28" s="34">
        <f>0</f>
        <v>0</v>
      </c>
      <c r="D28" s="34">
        <f>SUM(Projections!D21:D25)*CreditorDays/365</f>
        <v>44547.945205479453</v>
      </c>
      <c r="E28" s="34">
        <f>SUM(Projections!E21:E25)*CreditorDays/365</f>
        <v>53338.479452054788</v>
      </c>
      <c r="F28" s="34">
        <f>SUM(Projections!F21:F25)*CreditorDays/365</f>
        <v>61154.490534246572</v>
      </c>
    </row>
    <row r="29" spans="2:6" ht="16.95" customHeight="1" x14ac:dyDescent="0.3">
      <c r="B29" s="47" t="s">
        <v>210</v>
      </c>
      <c r="C29" s="36">
        <f>C26+C27-C28</f>
        <v>0</v>
      </c>
      <c r="D29" s="36">
        <f>D26+D27-D28</f>
        <v>-8063.0136986301368</v>
      </c>
      <c r="E29" s="36">
        <f>E26+E27-E28</f>
        <v>-9718.2616438356199</v>
      </c>
      <c r="F29" s="36">
        <f>F26+F27-F28</f>
        <v>-11222.679784931504</v>
      </c>
    </row>
    <row r="30" spans="2:6" ht="16.95" customHeight="1" x14ac:dyDescent="0.3">
      <c r="B30" s="5" t="s">
        <v>214</v>
      </c>
      <c r="C30" s="34">
        <f>C29</f>
        <v>0</v>
      </c>
      <c r="D30" s="34">
        <f>D29-C29</f>
        <v>-8063.0136986301368</v>
      </c>
      <c r="E30" s="34">
        <f>E29-D29</f>
        <v>-1655.2479452054831</v>
      </c>
      <c r="F30" s="34">
        <f>F29-E29</f>
        <v>-1504.4181410958845</v>
      </c>
    </row>
    <row r="31" spans="2:6" ht="16.95" customHeight="1" x14ac:dyDescent="0.3"/>
    <row r="32" spans="2:6" ht="16.95" customHeight="1" x14ac:dyDescent="0.3">
      <c r="B32" s="25" t="s">
        <v>123</v>
      </c>
      <c r="C32" s="26"/>
      <c r="D32" s="26"/>
      <c r="E32" s="26"/>
      <c r="F32" s="26"/>
    </row>
    <row r="33" spans="2:6" ht="16.95" customHeight="1" x14ac:dyDescent="0.3">
      <c r="B33" s="5" t="s">
        <v>215</v>
      </c>
      <c r="C33" s="34">
        <f>0</f>
        <v>0</v>
      </c>
      <c r="D33" s="34">
        <f>C37</f>
        <v>250000</v>
      </c>
      <c r="E33" s="34">
        <f>D37</f>
        <v>207385.88635829085</v>
      </c>
      <c r="F33" s="34">
        <f>E37</f>
        <v>161362.64362524496</v>
      </c>
    </row>
    <row r="34" spans="2:6" ht="16.95" customHeight="1" x14ac:dyDescent="0.3">
      <c r="B34" s="5" t="s">
        <v>216</v>
      </c>
      <c r="C34" s="42">
        <f>Loan</f>
        <v>250000</v>
      </c>
      <c r="D34" s="34">
        <f>0</f>
        <v>0</v>
      </c>
      <c r="E34" s="34">
        <f>0</f>
        <v>0</v>
      </c>
      <c r="F34" s="34">
        <f>0</f>
        <v>0</v>
      </c>
    </row>
    <row r="35" spans="2:6" ht="16.95" customHeight="1" x14ac:dyDescent="0.3">
      <c r="B35" s="5" t="s">
        <v>217</v>
      </c>
      <c r="C35" s="34">
        <f>C33*LoanRate</f>
        <v>0</v>
      </c>
      <c r="D35" s="34">
        <f>D33*LoanRate</f>
        <v>20000</v>
      </c>
      <c r="E35" s="34">
        <f>E33*LoanRate</f>
        <v>16590.87090866327</v>
      </c>
      <c r="F35" s="34">
        <f>F33*LoanRate</f>
        <v>12909.011490019597</v>
      </c>
    </row>
    <row r="36" spans="2:6" ht="16.95" customHeight="1" x14ac:dyDescent="0.3">
      <c r="B36" s="5" t="s">
        <v>218</v>
      </c>
      <c r="C36" s="34">
        <f>0</f>
        <v>0</v>
      </c>
      <c r="D36" s="34">
        <f>IF(D33&lt;=0,0,MIN(D33,MAX(0,IFERROR(PMT(LoanRate,LoanTerm,-Loan),D33)-D35)))</f>
        <v>42614.113641709147</v>
      </c>
      <c r="E36" s="34">
        <f>IF(E33&lt;=0,0,MIN(E33,MAX(0,IFERROR(PMT(LoanRate,LoanTerm,-Loan),E33)-E35)))</f>
        <v>46023.242733045874</v>
      </c>
      <c r="F36" s="34">
        <f>IF(F33&lt;=0,0,MIN(F33,MAX(0,IFERROR(PMT(LoanRate,LoanTerm,-Loan),F33)-F35)))</f>
        <v>49705.102151689549</v>
      </c>
    </row>
    <row r="37" spans="2:6" ht="16.95" customHeight="1" x14ac:dyDescent="0.3">
      <c r="B37" s="47" t="s">
        <v>219</v>
      </c>
      <c r="C37" s="36">
        <f>C33+C34-C36</f>
        <v>250000</v>
      </c>
      <c r="D37" s="36">
        <f>D33+D34-D36</f>
        <v>207385.88635829085</v>
      </c>
      <c r="E37" s="36">
        <f>E33+E34-E36</f>
        <v>161362.64362524496</v>
      </c>
      <c r="F37" s="36">
        <f>F33+F34-F36</f>
        <v>111657.54147355541</v>
      </c>
    </row>
    <row r="38" spans="2:6" ht="16.95" customHeight="1" x14ac:dyDescent="0.3"/>
    <row r="39" spans="2:6" ht="16.95" customHeight="1" x14ac:dyDescent="0.3">
      <c r="B39" s="25" t="s">
        <v>220</v>
      </c>
      <c r="C39" s="26"/>
      <c r="D39" s="26"/>
      <c r="E39" s="26"/>
      <c r="F39" s="26"/>
    </row>
    <row r="40" spans="2:6" ht="16.95" customHeight="1" x14ac:dyDescent="0.3">
      <c r="B40" s="5" t="s">
        <v>164</v>
      </c>
      <c r="C40" s="42">
        <f>Projections!C53</f>
        <v>-65000</v>
      </c>
      <c r="D40" s="42">
        <f>Projections!D53</f>
        <v>140798</v>
      </c>
      <c r="E40" s="42">
        <f>Projections!E53</f>
        <v>304492.7799999998</v>
      </c>
      <c r="F40" s="42">
        <f>Projections!F53</f>
        <v>461909.08802000032</v>
      </c>
    </row>
    <row r="41" spans="2:6" ht="16.95" customHeight="1" x14ac:dyDescent="0.3">
      <c r="B41" s="5" t="s">
        <v>221</v>
      </c>
      <c r="C41" s="34">
        <f>-Projections!C63</f>
        <v>0</v>
      </c>
      <c r="D41" s="34">
        <f>-Projections!D63</f>
        <v>0</v>
      </c>
      <c r="E41" s="34">
        <f>-Projections!E63</f>
        <v>0</v>
      </c>
      <c r="F41" s="34">
        <f>-Projections!F63</f>
        <v>0</v>
      </c>
    </row>
    <row r="42" spans="2:6" ht="16.95" customHeight="1" x14ac:dyDescent="0.3">
      <c r="B42" s="5" t="s">
        <v>200</v>
      </c>
      <c r="C42" s="34">
        <f>-C30</f>
        <v>0</v>
      </c>
      <c r="D42" s="34">
        <f>-D30</f>
        <v>8063.0136986301368</v>
      </c>
      <c r="E42" s="34">
        <f>-E30</f>
        <v>1655.2479452054831</v>
      </c>
      <c r="F42" s="34">
        <f>-F30</f>
        <v>1504.4181410958845</v>
      </c>
    </row>
    <row r="43" spans="2:6" ht="16.95" customHeight="1" x14ac:dyDescent="0.3">
      <c r="B43" s="5" t="s">
        <v>222</v>
      </c>
      <c r="C43" s="34">
        <f>C12</f>
        <v>-443000</v>
      </c>
      <c r="D43" s="34">
        <f>D12</f>
        <v>0</v>
      </c>
      <c r="E43" s="34">
        <f>E12</f>
        <v>0</v>
      </c>
      <c r="F43" s="34">
        <f>F12</f>
        <v>0</v>
      </c>
    </row>
    <row r="44" spans="2:6" ht="16.95" customHeight="1" x14ac:dyDescent="0.3">
      <c r="B44" s="5" t="s">
        <v>223</v>
      </c>
      <c r="C44" s="34">
        <f>0</f>
        <v>0</v>
      </c>
      <c r="D44" s="34">
        <f>0</f>
        <v>0</v>
      </c>
      <c r="E44" s="34">
        <f>0</f>
        <v>0</v>
      </c>
      <c r="F44" s="42">
        <f>ExitValue</f>
        <v>0</v>
      </c>
    </row>
    <row r="45" spans="2:6" ht="16.95" customHeight="1" x14ac:dyDescent="0.3">
      <c r="B45" s="37" t="s">
        <v>224</v>
      </c>
      <c r="C45" s="38">
        <f>SUM(C40:C44)</f>
        <v>-508000</v>
      </c>
      <c r="D45" s="38">
        <f>SUM(D40:D44)</f>
        <v>148861.01369863015</v>
      </c>
      <c r="E45" s="38">
        <f>SUM(E40:E44)</f>
        <v>306148.02794520528</v>
      </c>
      <c r="F45" s="38">
        <f>SUM(F40:F44)</f>
        <v>463413.50616109621</v>
      </c>
    </row>
    <row r="46" spans="2:6" ht="16.95" customHeight="1" x14ac:dyDescent="0.3">
      <c r="B46" s="5" t="s">
        <v>225</v>
      </c>
      <c r="C46" s="34">
        <f>C45</f>
        <v>-508000</v>
      </c>
      <c r="D46" s="34">
        <f>C46+D45</f>
        <v>-359138.98630136985</v>
      </c>
      <c r="E46" s="34">
        <f>D46+E45</f>
        <v>-52990.95835616457</v>
      </c>
      <c r="F46" s="34">
        <f>E46+F45</f>
        <v>410422.54780493164</v>
      </c>
    </row>
    <row r="47" spans="2:6" ht="16.95" customHeight="1" x14ac:dyDescent="0.3">
      <c r="B47" s="5" t="s">
        <v>226</v>
      </c>
      <c r="D47" s="49" t="str">
        <f>IF(AND(C46&lt;0,D46&gt;=0),0+(-C46)/D45,"")</f>
        <v/>
      </c>
      <c r="E47" s="49" t="str">
        <f>IF(AND(D46&lt;0,E46&gt;=0),1+(-D46)/E45,"")</f>
        <v/>
      </c>
      <c r="F47" s="49">
        <f>IF(AND(E46&lt;0,F46&gt;=0),2+(-E46)/F45,"")</f>
        <v>2.1143491884713073</v>
      </c>
    </row>
    <row r="48" spans="2:6" ht="16.95" customHeight="1" x14ac:dyDescent="0.3">
      <c r="B48" s="5" t="s">
        <v>227</v>
      </c>
      <c r="C48" s="50">
        <f>1/(1+DiscountRate)^0</f>
        <v>1</v>
      </c>
      <c r="D48" s="50">
        <f>1/(1+DiscountRate)^1</f>
        <v>0.89285714285714279</v>
      </c>
      <c r="E48" s="50">
        <f>1/(1+DiscountRate)^2</f>
        <v>0.79719387755102034</v>
      </c>
      <c r="F48" s="50">
        <f>1/(1+DiscountRate)^3</f>
        <v>0.71178024781341087</v>
      </c>
    </row>
    <row r="49" spans="2:6" ht="16.95" customHeight="1" x14ac:dyDescent="0.3">
      <c r="B49" s="5" t="s">
        <v>228</v>
      </c>
      <c r="C49" s="34">
        <f>C45*C48</f>
        <v>-508000</v>
      </c>
      <c r="D49" s="34">
        <f>D45*D48</f>
        <v>132911.61937377692</v>
      </c>
      <c r="E49" s="34">
        <f>E45*E48</f>
        <v>244059.33350223632</v>
      </c>
      <c r="F49" s="34">
        <f>F45*F48</f>
        <v>329848.58025542664</v>
      </c>
    </row>
  </sheetData>
  <sheetProtection sheet="1" formatCells="0" formatColumns="0" formatRows="0"/>
  <conditionalFormatting sqref="C6:F49">
    <cfRule type="expression" dxfId="7" priority="3">
      <formula>AND(ISNUMBER(C6),C6&lt;0)</formula>
    </cfRule>
  </conditionalFormatting>
  <conditionalFormatting sqref="C23:F23">
    <cfRule type="expression" dxfId="6" priority="1">
      <formula>C23="Below minimum"</formula>
    </cfRule>
    <cfRule type="expression" dxfId="5" priority="2">
      <formula>C23="OK"</formula>
    </cfRule>
  </conditionalFormatting>
  <printOptions horizontalCentered="1"/>
  <pageMargins left="0.4" right="0.4" top="0.5" bottom="0.5" header="0.25" footer="0.25"/>
  <pageSetup paperSize="9" orientation="portrait"/>
  <headerFooter>
    <oddFooter>&amp;L&amp;7 &amp;K6A727CTemplate: Shog Corporate Training · training.shogconsulting.com&amp;R&amp;7 &amp;K6A727CPage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071BA"/>
    <pageSetUpPr fitToPage="1"/>
  </sheetPr>
  <dimension ref="A1:M29"/>
  <sheetViews>
    <sheetView showGridLines="0" workbookViewId="0"/>
  </sheetViews>
  <sheetFormatPr defaultRowHeight="14.4" x14ac:dyDescent="0.3"/>
  <cols>
    <col min="1" max="1" width="2" customWidth="1"/>
    <col min="2" max="2" width="46" customWidth="1"/>
    <col min="3" max="5" width="16" customWidth="1"/>
    <col min="6" max="6" width="3" customWidth="1"/>
    <col min="7" max="13" width="12" customWidth="1"/>
  </cols>
  <sheetData>
    <row r="1" spans="1:13" ht="30" customHeight="1" x14ac:dyDescent="0.3">
      <c r="A1" s="10" t="s">
        <v>12</v>
      </c>
    </row>
    <row r="2" spans="1:13" ht="19.95" customHeight="1" x14ac:dyDescent="0.3">
      <c r="A2" s="11" t="s">
        <v>229</v>
      </c>
      <c r="B2" s="12"/>
      <c r="C2" s="12"/>
      <c r="D2" s="12"/>
      <c r="E2" s="12"/>
      <c r="F2" s="12"/>
      <c r="G2" s="12"/>
      <c r="H2" s="12"/>
      <c r="I2" s="12"/>
      <c r="J2" s="12"/>
      <c r="K2" s="12"/>
      <c r="L2" s="12"/>
      <c r="M2" s="12"/>
    </row>
    <row r="4" spans="1:13" ht="30" customHeight="1" x14ac:dyDescent="0.3">
      <c r="B4" s="32" t="str">
        <f>Currency&amp;", excluding VAT"</f>
        <v>AED, excluding VAT</v>
      </c>
      <c r="C4" s="16" t="str">
        <f>"Year 1 ("&amp;(FirstYear+0)&amp;")"</f>
        <v>Year 1 (2027)</v>
      </c>
      <c r="D4" s="16" t="str">
        <f>"Year 2 ("&amp;(FirstYear+1)&amp;")"</f>
        <v>Year 2 (2028)</v>
      </c>
      <c r="E4" s="16" t="str">
        <f>"Year 3 ("&amp;(FirstYear+2)&amp;")"</f>
        <v>Year 3 (2029)</v>
      </c>
    </row>
    <row r="5" spans="1:13" ht="18" customHeight="1" x14ac:dyDescent="0.3">
      <c r="B5" s="13" t="s">
        <v>153</v>
      </c>
      <c r="C5" s="42">
        <f>Projections!D18</f>
        <v>1729000</v>
      </c>
      <c r="D5" s="42">
        <f>Projections!E18</f>
        <v>2062368.9999999995</v>
      </c>
      <c r="E5" s="42">
        <f>Projections!F18</f>
        <v>2354805.4670000002</v>
      </c>
    </row>
    <row r="6" spans="1:13" ht="18" customHeight="1" x14ac:dyDescent="0.3">
      <c r="B6" s="13" t="s">
        <v>230</v>
      </c>
      <c r="C6" s="42">
        <f>Projections!D27</f>
        <v>611160</v>
      </c>
      <c r="D6" s="42">
        <f>Projections!E27</f>
        <v>731446.25999999989</v>
      </c>
      <c r="E6" s="42">
        <f>Projections!F27</f>
        <v>838238.52017999999</v>
      </c>
    </row>
    <row r="7" spans="1:13" ht="18" customHeight="1" x14ac:dyDescent="0.3">
      <c r="B7" s="13" t="s">
        <v>231</v>
      </c>
      <c r="C7" s="34">
        <f>C5-C6</f>
        <v>1117840</v>
      </c>
      <c r="D7" s="34">
        <f>D5-D6</f>
        <v>1330922.7399999998</v>
      </c>
      <c r="E7" s="34">
        <f>E5-E6</f>
        <v>1516566.9468200002</v>
      </c>
    </row>
    <row r="8" spans="1:13" ht="18" customHeight="1" x14ac:dyDescent="0.3">
      <c r="B8" s="13" t="s">
        <v>232</v>
      </c>
      <c r="C8" s="51">
        <f>IF(C5=0,"",C7/C5)</f>
        <v>0.64652400231347595</v>
      </c>
      <c r="D8" s="51">
        <f>IF(D5=0,"",D7/D5)</f>
        <v>0.64533686260800083</v>
      </c>
      <c r="E8" s="51">
        <f>IF(E5=0,"",E7/E5)</f>
        <v>0.64403067177862983</v>
      </c>
    </row>
    <row r="9" spans="1:13" ht="18" customHeight="1" x14ac:dyDescent="0.3">
      <c r="B9" s="13" t="s">
        <v>233</v>
      </c>
      <c r="C9" s="34">
        <f>Projections!D37+Projections!D51+Projections!D54+Projections!D56</f>
        <v>1085375.3333333333</v>
      </c>
      <c r="D9" s="34">
        <f>Projections!E37+Projections!E51+Projections!E54+Projections!E56</f>
        <v>1131354.1642419966</v>
      </c>
      <c r="E9" s="34">
        <f>Projections!F37+Projections!F51+Projections!F54+Projections!F56</f>
        <v>1155900.2036233526</v>
      </c>
    </row>
    <row r="10" spans="1:13" ht="18" customHeight="1" x14ac:dyDescent="0.3">
      <c r="B10" s="52" t="s">
        <v>234</v>
      </c>
      <c r="C10" s="53">
        <f>IF(N(C8)&lt;=0,"Not reachable",C9/C8)</f>
        <v>1678785.8292182542</v>
      </c>
      <c r="D10" s="53">
        <f>IF(N(D8)&lt;=0,"Not reachable",D9/D8)</f>
        <v>1753121.8651757368</v>
      </c>
      <c r="E10" s="53">
        <f>IF(N(E8)&lt;=0,"Not reachable",E9/E8)</f>
        <v>1794790.6121164765</v>
      </c>
    </row>
    <row r="11" spans="1:13" ht="18" customHeight="1" x14ac:dyDescent="0.3">
      <c r="B11" s="13" t="s">
        <v>235</v>
      </c>
      <c r="C11" s="34">
        <f>IF(ISNUMBER(C10),C10/12,"")</f>
        <v>139898.81910152119</v>
      </c>
      <c r="D11" s="34">
        <f>IF(ISNUMBER(D10),D10/12,"")</f>
        <v>146093.48876464475</v>
      </c>
      <c r="E11" s="34">
        <f>IF(ISNUMBER(E10),E10/12,"")</f>
        <v>149565.88434303971</v>
      </c>
    </row>
    <row r="12" spans="1:13" ht="18" customHeight="1" x14ac:dyDescent="0.3">
      <c r="B12" s="13" t="s">
        <v>236</v>
      </c>
      <c r="C12" s="34">
        <f>C5/12</f>
        <v>144083.33333333334</v>
      </c>
      <c r="D12" s="34">
        <f>D5/12</f>
        <v>171864.08333333328</v>
      </c>
      <c r="E12" s="34">
        <f>E5/12</f>
        <v>196233.78891666667</v>
      </c>
    </row>
    <row r="13" spans="1:13" ht="18" customHeight="1" x14ac:dyDescent="0.3">
      <c r="B13" s="52" t="s">
        <v>237</v>
      </c>
      <c r="C13" s="54">
        <f>IF(AND(ISNUMBER(C10),C5&gt;0),(C5-C10)/C5,"")</f>
        <v>2.9042319711825221E-2</v>
      </c>
      <c r="D13" s="54">
        <f>IF(AND(ISNUMBER(D10),D5&gt;0),(D5-D10)/D5,"")</f>
        <v>0.14994752870328382</v>
      </c>
      <c r="E13" s="54">
        <f>IF(AND(ISNUMBER(E10),E5&gt;0),(E5-E10)/E5,"")</f>
        <v>0.23781788463272818</v>
      </c>
    </row>
    <row r="15" spans="1:13" ht="19.95" customHeight="1" x14ac:dyDescent="0.3">
      <c r="B15" s="25" t="s">
        <v>238</v>
      </c>
      <c r="C15" s="26"/>
      <c r="D15" s="26"/>
      <c r="E15" s="26"/>
    </row>
    <row r="16" spans="1:13" ht="30" customHeight="1" x14ac:dyDescent="0.3">
      <c r="B16" s="55" t="s">
        <v>239</v>
      </c>
      <c r="C16" s="55" t="s">
        <v>153</v>
      </c>
      <c r="D16" s="55" t="s">
        <v>154</v>
      </c>
      <c r="E16" s="55" t="s">
        <v>240</v>
      </c>
    </row>
    <row r="17" spans="2:13" x14ac:dyDescent="0.3">
      <c r="B17" s="56">
        <v>0</v>
      </c>
      <c r="C17" s="57">
        <f t="shared" ref="C17:C27" si="0">$C$5*B17</f>
        <v>0</v>
      </c>
      <c r="D17" s="57">
        <f t="shared" ref="D17:D27" si="1">$C$9+$C$6*B17</f>
        <v>1085375.3333333333</v>
      </c>
      <c r="E17" s="57">
        <f t="shared" ref="E17:E27" si="2">$C$9</f>
        <v>1085375.3333333333</v>
      </c>
    </row>
    <row r="18" spans="2:13" x14ac:dyDescent="0.3">
      <c r="B18" s="56">
        <v>0.2</v>
      </c>
      <c r="C18" s="57">
        <f t="shared" si="0"/>
        <v>345800</v>
      </c>
      <c r="D18" s="57">
        <f t="shared" si="1"/>
        <v>1207607.3333333333</v>
      </c>
      <c r="E18" s="57">
        <f t="shared" si="2"/>
        <v>1085375.3333333333</v>
      </c>
    </row>
    <row r="19" spans="2:13" x14ac:dyDescent="0.3">
      <c r="B19" s="56">
        <v>0.4</v>
      </c>
      <c r="C19" s="57">
        <f t="shared" si="0"/>
        <v>691600</v>
      </c>
      <c r="D19" s="57">
        <f t="shared" si="1"/>
        <v>1329839.3333333333</v>
      </c>
      <c r="E19" s="57">
        <f t="shared" si="2"/>
        <v>1085375.3333333333</v>
      </c>
    </row>
    <row r="20" spans="2:13" x14ac:dyDescent="0.3">
      <c r="B20" s="56">
        <v>0.60000000000000009</v>
      </c>
      <c r="C20" s="57">
        <f t="shared" si="0"/>
        <v>1037400.0000000001</v>
      </c>
      <c r="D20" s="57">
        <f t="shared" si="1"/>
        <v>1452071.3333333333</v>
      </c>
      <c r="E20" s="57">
        <f t="shared" si="2"/>
        <v>1085375.3333333333</v>
      </c>
    </row>
    <row r="21" spans="2:13" x14ac:dyDescent="0.3">
      <c r="B21" s="56">
        <v>0.8</v>
      </c>
      <c r="C21" s="57">
        <f t="shared" si="0"/>
        <v>1383200</v>
      </c>
      <c r="D21" s="57">
        <f t="shared" si="1"/>
        <v>1574303.3333333333</v>
      </c>
      <c r="E21" s="57">
        <f t="shared" si="2"/>
        <v>1085375.3333333333</v>
      </c>
    </row>
    <row r="22" spans="2:13" x14ac:dyDescent="0.3">
      <c r="B22" s="56">
        <v>1</v>
      </c>
      <c r="C22" s="57">
        <f t="shared" si="0"/>
        <v>1729000</v>
      </c>
      <c r="D22" s="57">
        <f t="shared" si="1"/>
        <v>1696535.3333333333</v>
      </c>
      <c r="E22" s="57">
        <f t="shared" si="2"/>
        <v>1085375.3333333333</v>
      </c>
    </row>
    <row r="23" spans="2:13" x14ac:dyDescent="0.3">
      <c r="B23" s="56">
        <v>1.2</v>
      </c>
      <c r="C23" s="57">
        <f t="shared" si="0"/>
        <v>2074800</v>
      </c>
      <c r="D23" s="57">
        <f t="shared" si="1"/>
        <v>1818767.3333333333</v>
      </c>
      <c r="E23" s="57">
        <f t="shared" si="2"/>
        <v>1085375.3333333333</v>
      </c>
    </row>
    <row r="24" spans="2:13" x14ac:dyDescent="0.3">
      <c r="B24" s="56">
        <v>1.4</v>
      </c>
      <c r="C24" s="57">
        <f t="shared" si="0"/>
        <v>2420600</v>
      </c>
      <c r="D24" s="57">
        <f t="shared" si="1"/>
        <v>1940999.3333333333</v>
      </c>
      <c r="E24" s="57">
        <f t="shared" si="2"/>
        <v>1085375.3333333333</v>
      </c>
    </row>
    <row r="25" spans="2:13" x14ac:dyDescent="0.3">
      <c r="B25" s="56">
        <v>1.6</v>
      </c>
      <c r="C25" s="57">
        <f t="shared" si="0"/>
        <v>2766400</v>
      </c>
      <c r="D25" s="57">
        <f t="shared" si="1"/>
        <v>2063231.3333333333</v>
      </c>
      <c r="E25" s="57">
        <f t="shared" si="2"/>
        <v>1085375.3333333333</v>
      </c>
    </row>
    <row r="26" spans="2:13" x14ac:dyDescent="0.3">
      <c r="B26" s="56">
        <v>1.8</v>
      </c>
      <c r="C26" s="57">
        <f t="shared" si="0"/>
        <v>3112200</v>
      </c>
      <c r="D26" s="57">
        <f t="shared" si="1"/>
        <v>2185463.333333333</v>
      </c>
      <c r="E26" s="57">
        <f t="shared" si="2"/>
        <v>1085375.3333333333</v>
      </c>
    </row>
    <row r="27" spans="2:13" x14ac:dyDescent="0.3">
      <c r="B27" s="56">
        <v>2</v>
      </c>
      <c r="C27" s="57">
        <f t="shared" si="0"/>
        <v>3458000</v>
      </c>
      <c r="D27" s="57">
        <f t="shared" si="1"/>
        <v>2307695.333333333</v>
      </c>
      <c r="E27" s="57">
        <f t="shared" si="2"/>
        <v>1085375.3333333333</v>
      </c>
    </row>
    <row r="29" spans="2:13" ht="34.049999999999997" customHeight="1" x14ac:dyDescent="0.3">
      <c r="B29" s="80" t="s">
        <v>241</v>
      </c>
      <c r="C29" s="68"/>
      <c r="D29" s="68"/>
      <c r="E29" s="68"/>
      <c r="F29" s="68"/>
      <c r="G29" s="68"/>
      <c r="H29" s="68"/>
      <c r="I29" s="68"/>
      <c r="J29" s="68"/>
      <c r="K29" s="68"/>
      <c r="L29" s="68"/>
      <c r="M29" s="68"/>
    </row>
  </sheetData>
  <sheetProtection sheet="1" formatCells="0" formatColumns="0" formatRows="0"/>
  <mergeCells count="1">
    <mergeCell ref="B29:M29"/>
  </mergeCells>
  <conditionalFormatting sqref="C13:E13">
    <cfRule type="expression" dxfId="4" priority="1">
      <formula>AND(ISNUMBER(C13),C13&lt;0.1)</formula>
    </cfRule>
  </conditionalFormatting>
  <printOptions horizontalCentered="1"/>
  <pageMargins left="0.4" right="0.4" top="0.5" bottom="0.5" header="0.25" footer="0.25"/>
  <pageSetup paperSize="9" orientation="landscape"/>
  <headerFooter>
    <oddFooter>&amp;L&amp;7 &amp;K6A727CTemplate: Shog Corporate Training · training.shogconsulting.com&amp;R&amp;7 &amp;K6A727CPage &amp;P of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71BA"/>
    <pageSetUpPr fitToPage="1"/>
  </sheetPr>
  <dimension ref="A1:I25"/>
  <sheetViews>
    <sheetView showGridLines="0" workbookViewId="0"/>
  </sheetViews>
  <sheetFormatPr defaultRowHeight="14.4" x14ac:dyDescent="0.3"/>
  <cols>
    <col min="1" max="1" width="2" customWidth="1"/>
    <col min="2" max="2" width="30" customWidth="1"/>
    <col min="3" max="9" width="14" customWidth="1"/>
    <col min="10" max="10" width="3" customWidth="1"/>
  </cols>
  <sheetData>
    <row r="1" spans="1:9" ht="30" customHeight="1" x14ac:dyDescent="0.3">
      <c r="A1" s="10" t="s">
        <v>14</v>
      </c>
    </row>
    <row r="2" spans="1:9" ht="19.95" customHeight="1" x14ac:dyDescent="0.3">
      <c r="A2" s="11" t="s">
        <v>242</v>
      </c>
      <c r="B2" s="12"/>
      <c r="C2" s="12"/>
      <c r="D2" s="12"/>
      <c r="E2" s="12"/>
      <c r="F2" s="12"/>
      <c r="G2" s="12"/>
      <c r="H2" s="12"/>
      <c r="I2" s="12"/>
    </row>
    <row r="4" spans="1:9" ht="19.95" customHeight="1" x14ac:dyDescent="0.3">
      <c r="B4" s="58" t="s">
        <v>243</v>
      </c>
      <c r="C4" s="59">
        <v>1</v>
      </c>
      <c r="D4" s="83" t="s">
        <v>244</v>
      </c>
      <c r="E4" s="68"/>
      <c r="F4" s="68"/>
      <c r="G4" s="68"/>
      <c r="H4" s="68"/>
      <c r="I4" s="68"/>
    </row>
    <row r="6" spans="1:9" ht="19.95" customHeight="1" x14ac:dyDescent="0.3">
      <c r="B6" s="25" t="s">
        <v>191</v>
      </c>
      <c r="C6" s="26"/>
      <c r="D6" s="26"/>
      <c r="E6" s="26"/>
      <c r="F6" s="26"/>
      <c r="G6" s="26"/>
      <c r="H6" s="26"/>
      <c r="I6" s="26"/>
    </row>
    <row r="7" spans="1:9" ht="30" customHeight="1" x14ac:dyDescent="0.3">
      <c r="B7" s="60" t="s">
        <v>245</v>
      </c>
      <c r="C7" s="61">
        <v>-0.3</v>
      </c>
      <c r="D7" s="61">
        <v>-0.2</v>
      </c>
      <c r="E7" s="61">
        <v>-0.1</v>
      </c>
      <c r="F7" s="61">
        <v>0</v>
      </c>
      <c r="G7" s="61">
        <v>0.1</v>
      </c>
      <c r="H7" s="61">
        <v>0.2</v>
      </c>
      <c r="I7" s="61">
        <v>0.3</v>
      </c>
    </row>
    <row r="8" spans="1:9" ht="24" customHeight="1" x14ac:dyDescent="0.3">
      <c r="B8" s="61">
        <v>-0.2</v>
      </c>
      <c r="C8" s="62">
        <f t="shared" ref="C8:I12" si="0">$C$16*(1+$B8)*(1+C$7)*(1-$C$18)-$C$17*(1+C$7)-$C$19</f>
        <v>-535264.93333333335</v>
      </c>
      <c r="D8" s="62">
        <f t="shared" si="0"/>
        <v>-456677.7333333334</v>
      </c>
      <c r="E8" s="62">
        <f t="shared" si="0"/>
        <v>-378090.53333333321</v>
      </c>
      <c r="F8" s="62">
        <f t="shared" si="0"/>
        <v>-299503.33333333326</v>
      </c>
      <c r="G8" s="62">
        <f t="shared" si="0"/>
        <v>-220916.13333333307</v>
      </c>
      <c r="H8" s="62">
        <f t="shared" si="0"/>
        <v>-142328.93333333335</v>
      </c>
      <c r="I8" s="62">
        <f t="shared" si="0"/>
        <v>-63741.733333333395</v>
      </c>
    </row>
    <row r="9" spans="1:9" ht="24" customHeight="1" x14ac:dyDescent="0.3">
      <c r="B9" s="61">
        <v>-0.1</v>
      </c>
      <c r="C9" s="62">
        <f t="shared" si="0"/>
        <v>-419076.1333333333</v>
      </c>
      <c r="D9" s="62">
        <f t="shared" si="0"/>
        <v>-323890.53333333321</v>
      </c>
      <c r="E9" s="62">
        <f t="shared" si="0"/>
        <v>-228704.93333333335</v>
      </c>
      <c r="F9" s="62">
        <f t="shared" si="0"/>
        <v>-133519.33333333326</v>
      </c>
      <c r="G9" s="62">
        <f t="shared" si="0"/>
        <v>-38333.733333333163</v>
      </c>
      <c r="H9" s="62">
        <f t="shared" si="0"/>
        <v>56851.866666666698</v>
      </c>
      <c r="I9" s="62">
        <f t="shared" si="0"/>
        <v>152037.46666666656</v>
      </c>
    </row>
    <row r="10" spans="1:9" ht="24" customHeight="1" x14ac:dyDescent="0.3">
      <c r="B10" s="61">
        <v>0</v>
      </c>
      <c r="C10" s="62">
        <f t="shared" si="0"/>
        <v>-302887.33333333326</v>
      </c>
      <c r="D10" s="62">
        <f t="shared" si="0"/>
        <v>-191103.33333333326</v>
      </c>
      <c r="E10" s="62">
        <f t="shared" si="0"/>
        <v>-79319.333333333256</v>
      </c>
      <c r="F10" s="62">
        <f t="shared" si="0"/>
        <v>32464.666666666744</v>
      </c>
      <c r="G10" s="62">
        <f t="shared" si="0"/>
        <v>144248.66666666698</v>
      </c>
      <c r="H10" s="62">
        <f t="shared" si="0"/>
        <v>256032.66666666674</v>
      </c>
      <c r="I10" s="62">
        <f t="shared" si="0"/>
        <v>367816.66666666674</v>
      </c>
    </row>
    <row r="11" spans="1:9" ht="24" customHeight="1" x14ac:dyDescent="0.3">
      <c r="B11" s="61">
        <v>0.1</v>
      </c>
      <c r="C11" s="62">
        <f t="shared" si="0"/>
        <v>-186698.53333333321</v>
      </c>
      <c r="D11" s="62">
        <f t="shared" si="0"/>
        <v>-58316.133333333069</v>
      </c>
      <c r="E11" s="62">
        <f t="shared" si="0"/>
        <v>70066.266666666837</v>
      </c>
      <c r="F11" s="62">
        <f t="shared" si="0"/>
        <v>198448.66666666698</v>
      </c>
      <c r="G11" s="62">
        <f t="shared" si="0"/>
        <v>326831.06666666712</v>
      </c>
      <c r="H11" s="62">
        <f t="shared" si="0"/>
        <v>455213.46666666656</v>
      </c>
      <c r="I11" s="62">
        <f t="shared" si="0"/>
        <v>583595.86666666693</v>
      </c>
    </row>
    <row r="12" spans="1:9" ht="24" customHeight="1" x14ac:dyDescent="0.3">
      <c r="B12" s="61">
        <v>0.2</v>
      </c>
      <c r="C12" s="62">
        <f t="shared" si="0"/>
        <v>-70509.733333333395</v>
      </c>
      <c r="D12" s="62">
        <f t="shared" si="0"/>
        <v>74471.066666666651</v>
      </c>
      <c r="E12" s="62">
        <f t="shared" si="0"/>
        <v>219451.8666666667</v>
      </c>
      <c r="F12" s="62">
        <f t="shared" si="0"/>
        <v>364432.66666666674</v>
      </c>
      <c r="G12" s="62">
        <f t="shared" si="0"/>
        <v>509413.46666666656</v>
      </c>
      <c r="H12" s="62">
        <f t="shared" si="0"/>
        <v>654394.26666666684</v>
      </c>
      <c r="I12" s="62">
        <f t="shared" si="0"/>
        <v>799375.06666666665</v>
      </c>
    </row>
    <row r="15" spans="1:9" ht="19.95" customHeight="1" x14ac:dyDescent="0.3">
      <c r="B15" s="25" t="s">
        <v>246</v>
      </c>
      <c r="C15" s="26"/>
      <c r="D15" s="26"/>
    </row>
    <row r="16" spans="1:9" ht="18" customHeight="1" x14ac:dyDescent="0.3">
      <c r="B16" s="13" t="s">
        <v>153</v>
      </c>
      <c r="C16" s="34">
        <f>INDEX(Projections!$D$18:$F$18,$C$4)</f>
        <v>1729000</v>
      </c>
    </row>
    <row r="17" spans="2:9" ht="18" customHeight="1" x14ac:dyDescent="0.3">
      <c r="B17" s="13" t="s">
        <v>247</v>
      </c>
      <c r="C17" s="34">
        <f>INDEX(Projections!$D$27:$F$27,$C$4)-INDEX(Projections!$D$26:$F$26,$C$4)</f>
        <v>542000</v>
      </c>
    </row>
    <row r="18" spans="2:9" ht="18" customHeight="1" x14ac:dyDescent="0.3">
      <c r="B18" s="13" t="s">
        <v>248</v>
      </c>
      <c r="C18" s="63">
        <f>FeesPct</f>
        <v>0.04</v>
      </c>
    </row>
    <row r="19" spans="2:9" ht="18" customHeight="1" x14ac:dyDescent="0.3">
      <c r="B19" s="13" t="s">
        <v>240</v>
      </c>
      <c r="C19" s="34">
        <f>INDEX('Break-even'!$C$9:$E$9,$C$4)</f>
        <v>1085375.3333333333</v>
      </c>
      <c r="D19" s="83" t="s">
        <v>249</v>
      </c>
      <c r="E19" s="68"/>
      <c r="F19" s="68"/>
      <c r="G19" s="68"/>
      <c r="H19" s="68"/>
      <c r="I19" s="68"/>
    </row>
    <row r="21" spans="2:9" ht="19.95" customHeight="1" x14ac:dyDescent="0.3">
      <c r="B21" s="25" t="s">
        <v>250</v>
      </c>
      <c r="C21" s="26"/>
      <c r="D21" s="26"/>
      <c r="E21" s="26"/>
      <c r="F21" s="26"/>
      <c r="G21" s="26"/>
      <c r="H21" s="26"/>
      <c r="I21" s="26"/>
    </row>
    <row r="22" spans="2:9" ht="19.95" customHeight="1" x14ac:dyDescent="0.3">
      <c r="B22" s="58" t="s">
        <v>251</v>
      </c>
      <c r="C22" s="64">
        <f>IFERROR($C$19/($C$16*(1-$C$18)-$C$17),"")</f>
        <v>0.97095768028817475</v>
      </c>
      <c r="D22" s="83" t="s">
        <v>252</v>
      </c>
      <c r="E22" s="68"/>
      <c r="F22" s="68"/>
      <c r="G22" s="68"/>
      <c r="H22" s="68"/>
      <c r="I22" s="68"/>
    </row>
    <row r="23" spans="2:9" ht="19.95" customHeight="1" x14ac:dyDescent="0.3">
      <c r="B23" s="58" t="s">
        <v>253</v>
      </c>
      <c r="C23" s="64">
        <f>IFERROR(($C$19+$C$17)/($C$16*(1-$C$18)),"")</f>
        <v>0.98044108669108665</v>
      </c>
      <c r="D23" s="83" t="s">
        <v>254</v>
      </c>
      <c r="E23" s="68"/>
      <c r="F23" s="68"/>
      <c r="G23" s="68"/>
      <c r="H23" s="68"/>
      <c r="I23" s="68"/>
    </row>
    <row r="25" spans="2:9" ht="34.049999999999997" customHeight="1" x14ac:dyDescent="0.3">
      <c r="B25" s="80" t="s">
        <v>255</v>
      </c>
      <c r="C25" s="68"/>
      <c r="D25" s="68"/>
      <c r="E25" s="68"/>
      <c r="F25" s="68"/>
      <c r="G25" s="68"/>
      <c r="H25" s="68"/>
      <c r="I25" s="68"/>
    </row>
  </sheetData>
  <sheetProtection sheet="1" formatCells="0" formatColumns="0" formatRows="0"/>
  <mergeCells count="5">
    <mergeCell ref="D19:I19"/>
    <mergeCell ref="B25:I25"/>
    <mergeCell ref="D4:I4"/>
    <mergeCell ref="D22:I22"/>
    <mergeCell ref="D23:I23"/>
  </mergeCells>
  <conditionalFormatting sqref="C22:C23">
    <cfRule type="expression" dxfId="3" priority="4">
      <formula>AND(ISNUMBER(C22),C22&gt;0.9)</formula>
    </cfRule>
  </conditionalFormatting>
  <conditionalFormatting sqref="C8:I12">
    <cfRule type="expression" dxfId="2" priority="1">
      <formula>C8&lt;0</formula>
    </cfRule>
    <cfRule type="expression" dxfId="1" priority="2">
      <formula>C8&gt;=0</formula>
    </cfRule>
    <cfRule type="expression" dxfId="0" priority="3">
      <formula>AND($B8=0,C$7=0)</formula>
    </cfRule>
  </conditionalFormatting>
  <dataValidations count="1">
    <dataValidation type="list" allowBlank="1" showInputMessage="1" showErrorMessage="1" errorTitle="Not on the list" error="Choose a value from the list." prompt="Choose year 1, 2 or 3." sqref="C4" xr:uid="{00000000-0002-0000-0600-000000000000}">
      <formula1>"1,2,3"</formula1>
    </dataValidation>
  </dataValidations>
  <printOptions horizontalCentered="1"/>
  <pageMargins left="0.4" right="0.4" top="0.5" bottom="0.5" header="0.25" footer="0.25"/>
  <pageSetup paperSize="9" orientation="landscape"/>
  <headerFooter>
    <oddFooter>&amp;L&amp;7 &amp;K6A727CTemplate: Shog Corporate Training · training.shogconsulting.com&amp;R&amp;7 &amp;K6A727CPage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34</vt:i4>
      </vt:variant>
    </vt:vector>
  </HeadingPairs>
  <TitlesOfParts>
    <vt:vector size="41" baseType="lpstr">
      <vt:lpstr>Start here</vt:lpstr>
      <vt:lpstr>Inputs</vt:lpstr>
      <vt:lpstr>Summary</vt:lpstr>
      <vt:lpstr>Projections</vt:lpstr>
      <vt:lpstr>Cash Flow</vt:lpstr>
      <vt:lpstr>Break-even</vt:lpstr>
      <vt:lpstr>Sensitivity</vt:lpstr>
      <vt:lpstr>BasicShare</vt:lpstr>
      <vt:lpstr>CostInc</vt:lpstr>
      <vt:lpstr>CreditorDays</vt:lpstr>
      <vt:lpstr>Currency</vt:lpstr>
      <vt:lpstr>DebtorDays</vt:lpstr>
      <vt:lpstr>DiscountRate</vt:lpstr>
      <vt:lpstr>Equity</vt:lpstr>
      <vt:lpstr>ExitValue</vt:lpstr>
      <vt:lpstr>FeesPct</vt:lpstr>
      <vt:lpstr>FirstYear</vt:lpstr>
      <vt:lpstr>GratuityDays</vt:lpstr>
      <vt:lpstr>Loan</vt:lpstr>
      <vt:lpstr>LoanRate</vt:lpstr>
      <vt:lpstr>LoanTerm</vt:lpstr>
      <vt:lpstr>Location</vt:lpstr>
      <vt:lpstr>LossCap</vt:lpstr>
      <vt:lpstr>MedicalPP</vt:lpstr>
      <vt:lpstr>MinCash</vt:lpstr>
      <vt:lpstr>PayRise</vt:lpstr>
      <vt:lpstr>PriceInc</vt:lpstr>
      <vt:lpstr>'Break-even'!Print_Area</vt:lpstr>
      <vt:lpstr>'Cash Flow'!Print_Area</vt:lpstr>
      <vt:lpstr>Inputs!Print_Area</vt:lpstr>
      <vt:lpstr>Projections!Print_Area</vt:lpstr>
      <vt:lpstr>Sensitivity!Print_Area</vt:lpstr>
      <vt:lpstr>'Start here'!Print_Area</vt:lpstr>
      <vt:lpstr>Summary!Print_Area</vt:lpstr>
      <vt:lpstr>'Cash Flow'!Print_Titles</vt:lpstr>
      <vt:lpstr>Projections!Print_Titles</vt:lpstr>
      <vt:lpstr>ProjectName</vt:lpstr>
      <vt:lpstr>StockDays</vt:lpstr>
      <vt:lpstr>TaxFree</vt:lpstr>
      <vt:lpstr>TaxRate</vt:lpstr>
      <vt:lpstr>VisaPerHire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feasibility study: three-year model</dc:title>
  <dc:subject>Free financial feasibility study template for the UAE</dc:subject>
  <dc:creator>Shog Corporate Training</dc:creator>
  <cp:keywords>feasibility study template, financial model, break-even, payback, NPV, IRR, UAE, AED</cp:keywords>
  <cp:lastModifiedBy>CisoShare | MedHisab</cp:lastModifiedBy>
  <dcterms:created xsi:type="dcterms:W3CDTF">2026-09-25T14:32:03Z</dcterms:created>
  <dcterms:modified xsi:type="dcterms:W3CDTF">2026-09-25T14:37:15Z</dcterms:modified>
</cp:coreProperties>
</file>