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V:\Projects\shog-marketing\templates\"/>
    </mc:Choice>
  </mc:AlternateContent>
  <xr:revisionPtr revIDLastSave="0" documentId="13_ncr:1_{E4C28DE2-C85A-4E1B-A2BC-C3A6C6DE1601}" xr6:coauthVersionLast="47" xr6:coauthVersionMax="47" xr10:uidLastSave="{00000000-0000-0000-0000-000000000000}"/>
  <bookViews>
    <workbookView xWindow="-108" yWindow="-108" windowWidth="23256" windowHeight="13896" xr2:uid="{00000000-000D-0000-FFFF-FFFF00000000}"/>
  </bookViews>
  <sheets>
    <sheet name="ابدأ هنا" sheetId="1" r:id="rId1"/>
    <sheet name="المدخلات" sheetId="2" r:id="rId2"/>
    <sheet name="الملخص" sheetId="3" r:id="rId3"/>
    <sheet name="قائمة الدخل" sheetId="4" r:id="rId4"/>
    <sheet name="التدفق النقدي" sheetId="5" r:id="rId5"/>
    <sheet name="نقطة التعادل" sheetId="6" r:id="rId6"/>
    <sheet name="تحليل الحساسية" sheetId="7" r:id="rId7"/>
  </sheets>
  <definedNames>
    <definedName name="BasicShare">المدخلات!$C$35</definedName>
    <definedName name="CostInc">المدخلات!$C$20</definedName>
    <definedName name="CreditorDays">المدخلات!$C$74</definedName>
    <definedName name="Currency">المدخلات!$C$8</definedName>
    <definedName name="DebtorDays">المدخلات!$C$72</definedName>
    <definedName name="DiscountRate">المدخلات!$C$81</definedName>
    <definedName name="Equity">المدخلات!$C$66</definedName>
    <definedName name="ExitValue">المدخلات!$C$82</definedName>
    <definedName name="FeesPct">المدخلات!$C$21</definedName>
    <definedName name="FirstYear">المدخلات!$C$9</definedName>
    <definedName name="GratuityDays">المدخلات!$C$36</definedName>
    <definedName name="Loan">المدخلات!$C$67</definedName>
    <definedName name="LoanRate">المدخلات!$C$68</definedName>
    <definedName name="LoanTerm">المدخلات!$C$69</definedName>
    <definedName name="Location">المدخلات!$C$7</definedName>
    <definedName name="LossCap">المدخلات!$C$80</definedName>
    <definedName name="MedicalPP">المدخلات!$C$37</definedName>
    <definedName name="MinCash">المدخلات!$C$75</definedName>
    <definedName name="PayRise">المدخلات!$C$34</definedName>
    <definedName name="PriceInc">المدخلات!$C$19</definedName>
    <definedName name="_xlnm.Print_Area" localSheetId="0">'ابدأ هنا'!$A$1:$F$32</definedName>
    <definedName name="_xlnm.Print_Area" localSheetId="4">'التدفق النقدي'!$A$1:$G$49</definedName>
    <definedName name="_xlnm.Print_Area" localSheetId="1">المدخلات!$A$1:$I$85</definedName>
    <definedName name="_xlnm.Print_Area" localSheetId="2">الملخص!$A$1:$I$48</definedName>
    <definedName name="_xlnm.Print_Area" localSheetId="6">'تحليل الحساسية'!$A$1:$J$25</definedName>
    <definedName name="_xlnm.Print_Area" localSheetId="3">'قائمة الدخل'!$A$1:$G$67</definedName>
    <definedName name="_xlnm.Print_Area" localSheetId="5">'نقطة التعادل'!$A$1:$M$29</definedName>
    <definedName name="_xlnm.Print_Titles" localSheetId="4">'التدفق النقدي'!$4:$4</definedName>
    <definedName name="_xlnm.Print_Titles" localSheetId="3">'قائمة الدخل'!$4:$4</definedName>
    <definedName name="ProjectName">المدخلات!$C$6</definedName>
    <definedName name="StockDays">المدخلات!$C$73</definedName>
    <definedName name="TaxFree">المدخلات!$C$79</definedName>
    <definedName name="TaxRate">المدخلات!$C$78</definedName>
    <definedName name="VisaPerHire">المدخلات!$C$38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7" l="1"/>
  <c r="E4" i="6"/>
  <c r="D4" i="6"/>
  <c r="C4" i="6"/>
  <c r="B4" i="6"/>
  <c r="F48" i="5"/>
  <c r="E48" i="5"/>
  <c r="D48" i="5"/>
  <c r="C48" i="5"/>
  <c r="F44" i="5"/>
  <c r="E44" i="5"/>
  <c r="D44" i="5"/>
  <c r="C44" i="5"/>
  <c r="C36" i="5"/>
  <c r="C17" i="5" s="1"/>
  <c r="C35" i="5"/>
  <c r="C56" i="4" s="1"/>
  <c r="F34" i="5"/>
  <c r="E34" i="5"/>
  <c r="D34" i="5"/>
  <c r="C34" i="5"/>
  <c r="C33" i="5"/>
  <c r="C28" i="5"/>
  <c r="C27" i="5"/>
  <c r="C26" i="5"/>
  <c r="C21" i="5"/>
  <c r="F16" i="5"/>
  <c r="E16" i="5"/>
  <c r="D16" i="5"/>
  <c r="C16" i="5"/>
  <c r="F15" i="5"/>
  <c r="E15" i="5"/>
  <c r="D15" i="5"/>
  <c r="C15" i="5"/>
  <c r="F12" i="5"/>
  <c r="F43" i="5" s="1"/>
  <c r="E12" i="5"/>
  <c r="E43" i="5" s="1"/>
  <c r="D12" i="5"/>
  <c r="D43" i="5" s="1"/>
  <c r="C12" i="5"/>
  <c r="C43" i="5" s="1"/>
  <c r="F4" i="5"/>
  <c r="E4" i="5"/>
  <c r="D4" i="5"/>
  <c r="B4" i="5"/>
  <c r="C60" i="4"/>
  <c r="F54" i="4"/>
  <c r="F7" i="5" s="1"/>
  <c r="E54" i="4"/>
  <c r="E7" i="5" s="1"/>
  <c r="D54" i="4"/>
  <c r="D7" i="5" s="1"/>
  <c r="C54" i="4"/>
  <c r="C7" i="5" s="1"/>
  <c r="F50" i="4"/>
  <c r="E50" i="4"/>
  <c r="D50" i="4"/>
  <c r="C50" i="4"/>
  <c r="C51" i="4" s="1"/>
  <c r="F49" i="4"/>
  <c r="E49" i="4"/>
  <c r="D49" i="4"/>
  <c r="B49" i="4"/>
  <c r="F48" i="4"/>
  <c r="E48" i="4"/>
  <c r="D48" i="4"/>
  <c r="B48" i="4"/>
  <c r="F47" i="4"/>
  <c r="E47" i="4"/>
  <c r="D47" i="4"/>
  <c r="B47" i="4"/>
  <c r="F46" i="4"/>
  <c r="E46" i="4"/>
  <c r="D46" i="4"/>
  <c r="B46" i="4"/>
  <c r="F45" i="4"/>
  <c r="E45" i="4"/>
  <c r="D45" i="4"/>
  <c r="B45" i="4"/>
  <c r="F44" i="4"/>
  <c r="E44" i="4"/>
  <c r="D44" i="4"/>
  <c r="B44" i="4"/>
  <c r="F43" i="4"/>
  <c r="E43" i="4"/>
  <c r="D43" i="4"/>
  <c r="B43" i="4"/>
  <c r="F42" i="4"/>
  <c r="E42" i="4"/>
  <c r="D42" i="4"/>
  <c r="B42" i="4"/>
  <c r="F41" i="4"/>
  <c r="E41" i="4"/>
  <c r="D41" i="4"/>
  <c r="B41" i="4"/>
  <c r="F40" i="4"/>
  <c r="E40" i="4"/>
  <c r="D40" i="4"/>
  <c r="B40" i="4"/>
  <c r="C37" i="4"/>
  <c r="F36" i="4"/>
  <c r="E36" i="4"/>
  <c r="D36" i="4"/>
  <c r="F35" i="4"/>
  <c r="E35" i="4"/>
  <c r="F33" i="4"/>
  <c r="E33" i="4"/>
  <c r="D33" i="4"/>
  <c r="D34" i="4" s="1"/>
  <c r="F32" i="4"/>
  <c r="E32" i="4"/>
  <c r="D32" i="4"/>
  <c r="D35" i="4" s="1"/>
  <c r="C27" i="4"/>
  <c r="F25" i="4"/>
  <c r="E25" i="4"/>
  <c r="D25" i="4"/>
  <c r="B25" i="4"/>
  <c r="B24" i="4"/>
  <c r="B23" i="4"/>
  <c r="B22" i="4"/>
  <c r="B21" i="4"/>
  <c r="C18" i="4"/>
  <c r="C67" i="4" s="1"/>
  <c r="F21" i="3" s="1"/>
  <c r="F17" i="4"/>
  <c r="E17" i="4"/>
  <c r="D17" i="4"/>
  <c r="B17" i="4"/>
  <c r="B16" i="4"/>
  <c r="B15" i="4"/>
  <c r="B14" i="4"/>
  <c r="D13" i="4"/>
  <c r="B13" i="4"/>
  <c r="F10" i="4"/>
  <c r="E10" i="4"/>
  <c r="D10" i="4"/>
  <c r="B10" i="4"/>
  <c r="D9" i="4"/>
  <c r="D16" i="4" s="1"/>
  <c r="B9" i="4"/>
  <c r="D8" i="4"/>
  <c r="D15" i="4" s="1"/>
  <c r="B8" i="4"/>
  <c r="D7" i="4"/>
  <c r="D22" i="4" s="1"/>
  <c r="B7" i="4"/>
  <c r="D6" i="4"/>
  <c r="D21" i="4" s="1"/>
  <c r="B6" i="4"/>
  <c r="F4" i="4"/>
  <c r="E4" i="4"/>
  <c r="D4" i="4"/>
  <c r="B4" i="4"/>
  <c r="C29" i="3"/>
  <c r="C28" i="3"/>
  <c r="C27" i="3"/>
  <c r="C26" i="3"/>
  <c r="B26" i="3"/>
  <c r="I14" i="3"/>
  <c r="H14" i="3"/>
  <c r="G14" i="3"/>
  <c r="F10" i="3"/>
  <c r="H6" i="3"/>
  <c r="F6" i="3"/>
  <c r="D6" i="3"/>
  <c r="B6" i="3"/>
  <c r="O5" i="3"/>
  <c r="N5" i="3"/>
  <c r="M5" i="3"/>
  <c r="D5" i="3"/>
  <c r="B5" i="3"/>
  <c r="A2" i="3"/>
  <c r="A1" i="3"/>
  <c r="B6" i="1"/>
  <c r="D23" i="4" l="1"/>
  <c r="D24" i="4"/>
  <c r="D27" i="5" s="1"/>
  <c r="F15" i="3"/>
  <c r="C18" i="5"/>
  <c r="L6" i="3"/>
  <c r="D51" i="4"/>
  <c r="E6" i="4"/>
  <c r="F6" i="4" s="1"/>
  <c r="F13" i="4" s="1"/>
  <c r="C28" i="4"/>
  <c r="C53" i="4" s="1"/>
  <c r="E51" i="4"/>
  <c r="F51" i="4"/>
  <c r="C37" i="5"/>
  <c r="D33" i="5" s="1"/>
  <c r="D35" i="5" s="1"/>
  <c r="D56" i="4" s="1"/>
  <c r="C29" i="5"/>
  <c r="C30" i="5" s="1"/>
  <c r="D28" i="5"/>
  <c r="C8" i="5"/>
  <c r="C42" i="5"/>
  <c r="F16" i="3"/>
  <c r="E34" i="4"/>
  <c r="E37" i="4" s="1"/>
  <c r="E8" i="4"/>
  <c r="C29" i="4"/>
  <c r="F17" i="3" s="1"/>
  <c r="F34" i="4"/>
  <c r="F37" i="4" s="1"/>
  <c r="D14" i="4"/>
  <c r="D18" i="4" s="1"/>
  <c r="E9" i="4"/>
  <c r="E21" i="4"/>
  <c r="D37" i="4"/>
  <c r="E7" i="4"/>
  <c r="F21" i="4" l="1"/>
  <c r="D36" i="5"/>
  <c r="D17" i="5" s="1"/>
  <c r="D18" i="5" s="1"/>
  <c r="C9" i="6"/>
  <c r="E13" i="4"/>
  <c r="F7" i="4"/>
  <c r="E14" i="4"/>
  <c r="E22" i="4"/>
  <c r="F18" i="3"/>
  <c r="C55" i="4"/>
  <c r="C57" i="4" s="1"/>
  <c r="C40" i="5"/>
  <c r="D26" i="4"/>
  <c r="D27" i="4" s="1"/>
  <c r="C5" i="6"/>
  <c r="M6" i="3"/>
  <c r="C16" i="7"/>
  <c r="G15" i="3"/>
  <c r="D26" i="5"/>
  <c r="D29" i="5" s="1"/>
  <c r="D30" i="5" s="1"/>
  <c r="B10" i="3"/>
  <c r="E19" i="6"/>
  <c r="E23" i="6"/>
  <c r="C19" i="7"/>
  <c r="E24" i="6"/>
  <c r="E18" i="6"/>
  <c r="E27" i="6"/>
  <c r="E21" i="6"/>
  <c r="E22" i="6"/>
  <c r="E17" i="6"/>
  <c r="E26" i="6"/>
  <c r="E20" i="6"/>
  <c r="E25" i="6"/>
  <c r="F9" i="4"/>
  <c r="E16" i="4"/>
  <c r="E24" i="4"/>
  <c r="E15" i="4"/>
  <c r="E23" i="4"/>
  <c r="F8" i="4"/>
  <c r="D37" i="5" l="1"/>
  <c r="E33" i="5" s="1"/>
  <c r="E27" i="5"/>
  <c r="E28" i="5"/>
  <c r="E18" i="4"/>
  <c r="N6" i="3" s="1"/>
  <c r="E26" i="4"/>
  <c r="E27" i="4" s="1"/>
  <c r="D6" i="6" s="1"/>
  <c r="C6" i="6"/>
  <c r="C17" i="7"/>
  <c r="F11" i="7" s="1"/>
  <c r="C61" i="4"/>
  <c r="C64" i="4" s="1"/>
  <c r="D60" i="4" s="1"/>
  <c r="I10" i="7"/>
  <c r="H11" i="7"/>
  <c r="F22" i="4"/>
  <c r="F14" i="4"/>
  <c r="C20" i="6"/>
  <c r="C25" i="6"/>
  <c r="C22" i="6"/>
  <c r="C19" i="6"/>
  <c r="C24" i="6"/>
  <c r="C17" i="6"/>
  <c r="C18" i="6"/>
  <c r="C27" i="6"/>
  <c r="C23" i="6"/>
  <c r="C21" i="6"/>
  <c r="C26" i="6"/>
  <c r="C12" i="6"/>
  <c r="H10" i="3" s="1"/>
  <c r="F15" i="4"/>
  <c r="F23" i="4"/>
  <c r="D8" i="5"/>
  <c r="D42" i="5"/>
  <c r="F24" i="4"/>
  <c r="F16" i="4"/>
  <c r="E36" i="5"/>
  <c r="E17" i="5" s="1"/>
  <c r="E18" i="5" s="1"/>
  <c r="E35" i="5"/>
  <c r="E56" i="4" s="1"/>
  <c r="D9" i="6" s="1"/>
  <c r="D28" i="4"/>
  <c r="E28" i="4" l="1"/>
  <c r="E26" i="5"/>
  <c r="E29" i="5" s="1"/>
  <c r="E30" i="5" s="1"/>
  <c r="E8" i="5" s="1"/>
  <c r="H15" i="3"/>
  <c r="E29" i="4"/>
  <c r="H17" i="3" s="1"/>
  <c r="D5" i="6"/>
  <c r="D7" i="6" s="1"/>
  <c r="D8" i="6" s="1"/>
  <c r="D10" i="6" s="1"/>
  <c r="D19" i="6"/>
  <c r="D20" i="6"/>
  <c r="D22" i="6"/>
  <c r="D27" i="6"/>
  <c r="D23" i="6"/>
  <c r="D26" i="6"/>
  <c r="D18" i="6"/>
  <c r="D24" i="6"/>
  <c r="D17" i="6"/>
  <c r="D25" i="6"/>
  <c r="D21" i="6"/>
  <c r="D11" i="7"/>
  <c r="E8" i="7"/>
  <c r="G9" i="7"/>
  <c r="G10" i="7"/>
  <c r="E12" i="7"/>
  <c r="I11" i="7"/>
  <c r="C22" i="7"/>
  <c r="D8" i="7"/>
  <c r="I9" i="7"/>
  <c r="F8" i="7"/>
  <c r="G12" i="7"/>
  <c r="F12" i="7"/>
  <c r="F18" i="4"/>
  <c r="C12" i="7"/>
  <c r="H10" i="7"/>
  <c r="F27" i="5"/>
  <c r="F28" i="5"/>
  <c r="H16" i="3"/>
  <c r="E53" i="4"/>
  <c r="E42" i="5"/>
  <c r="H8" i="7"/>
  <c r="C11" i="7"/>
  <c r="H9" i="7"/>
  <c r="C8" i="7"/>
  <c r="E37" i="5"/>
  <c r="F33" i="5" s="1"/>
  <c r="I8" i="7"/>
  <c r="I12" i="7"/>
  <c r="C9" i="7"/>
  <c r="G16" i="3"/>
  <c r="D53" i="4"/>
  <c r="D29" i="4"/>
  <c r="G17" i="3" s="1"/>
  <c r="C62" i="4"/>
  <c r="C63" i="4" s="1"/>
  <c r="C23" i="7"/>
  <c r="F10" i="7"/>
  <c r="H12" i="7"/>
  <c r="E10" i="7"/>
  <c r="D12" i="7"/>
  <c r="E9" i="7"/>
  <c r="C10" i="7"/>
  <c r="E11" i="7"/>
  <c r="C7" i="6"/>
  <c r="C8" i="6" s="1"/>
  <c r="C10" i="6" s="1"/>
  <c r="G11" i="7"/>
  <c r="D10" i="7"/>
  <c r="D9" i="7"/>
  <c r="F9" i="7"/>
  <c r="G8" i="7"/>
  <c r="D12" i="6" l="1"/>
  <c r="D11" i="6"/>
  <c r="D13" i="6"/>
  <c r="C11" i="6"/>
  <c r="H9" i="3" s="1"/>
  <c r="C13" i="6"/>
  <c r="E5" i="6"/>
  <c r="F26" i="5"/>
  <c r="F29" i="5" s="1"/>
  <c r="F30" i="5" s="1"/>
  <c r="B9" i="3"/>
  <c r="O6" i="3"/>
  <c r="I15" i="3"/>
  <c r="F26" i="4"/>
  <c r="F27" i="4" s="1"/>
  <c r="E6" i="6" s="1"/>
  <c r="B29" i="3"/>
  <c r="H18" i="3"/>
  <c r="E55" i="4"/>
  <c r="E57" i="4" s="1"/>
  <c r="E40" i="5"/>
  <c r="G18" i="3"/>
  <c r="D55" i="4"/>
  <c r="D57" i="4" s="1"/>
  <c r="D40" i="5"/>
  <c r="F35" i="5"/>
  <c r="F56" i="4" s="1"/>
  <c r="E9" i="6" s="1"/>
  <c r="C41" i="5"/>
  <c r="C45" i="5" s="1"/>
  <c r="F19" i="3"/>
  <c r="C66" i="4"/>
  <c r="F8" i="5" l="1"/>
  <c r="F42" i="5"/>
  <c r="F28" i="4"/>
  <c r="C49" i="5"/>
  <c r="C46" i="5"/>
  <c r="E12" i="6"/>
  <c r="E7" i="6"/>
  <c r="E8" i="6"/>
  <c r="E10" i="6" s="1"/>
  <c r="L8" i="3"/>
  <c r="C6" i="5"/>
  <c r="C9" i="5" s="1"/>
  <c r="C20" i="5" s="1"/>
  <c r="C22" i="5" s="1"/>
  <c r="F20" i="3"/>
  <c r="L7" i="3"/>
  <c r="F36" i="5"/>
  <c r="D61" i="4"/>
  <c r="D64" i="4" s="1"/>
  <c r="E60" i="4" s="1"/>
  <c r="E61" i="4"/>
  <c r="E62" i="4" s="1"/>
  <c r="E63" i="4" s="1"/>
  <c r="E66" i="4" s="1"/>
  <c r="D21" i="5" l="1"/>
  <c r="F22" i="3"/>
  <c r="L9" i="3"/>
  <c r="C23" i="5"/>
  <c r="E11" i="6"/>
  <c r="E13" i="6"/>
  <c r="N8" i="3"/>
  <c r="H20" i="3"/>
  <c r="E6" i="5"/>
  <c r="E9" i="5" s="1"/>
  <c r="E20" i="5" s="1"/>
  <c r="E67" i="4"/>
  <c r="H21" i="3" s="1"/>
  <c r="N7" i="3"/>
  <c r="F17" i="5"/>
  <c r="F18" i="5" s="1"/>
  <c r="F37" i="5"/>
  <c r="E41" i="5"/>
  <c r="E45" i="5" s="1"/>
  <c r="E49" i="5" s="1"/>
  <c r="H19" i="3"/>
  <c r="E64" i="4"/>
  <c r="F60" i="4" s="1"/>
  <c r="I16" i="3"/>
  <c r="F53" i="4"/>
  <c r="F29" i="4"/>
  <c r="I17" i="3" s="1"/>
  <c r="D62" i="4"/>
  <c r="D63" i="4" s="1"/>
  <c r="D41" i="5" l="1"/>
  <c r="D45" i="5" s="1"/>
  <c r="G19" i="3"/>
  <c r="D66" i="4"/>
  <c r="I18" i="3"/>
  <c r="F40" i="5"/>
  <c r="F55" i="4"/>
  <c r="F57" i="4" s="1"/>
  <c r="F61" i="4" l="1"/>
  <c r="F64" i="4" s="1"/>
  <c r="M8" i="3"/>
  <c r="G20" i="3"/>
  <c r="D6" i="5"/>
  <c r="D9" i="5" s="1"/>
  <c r="D20" i="5" s="1"/>
  <c r="D22" i="5" s="1"/>
  <c r="D67" i="4"/>
  <c r="G21" i="3" s="1"/>
  <c r="M7" i="3"/>
  <c r="D49" i="5"/>
  <c r="D46" i="5"/>
  <c r="E46" i="5" l="1"/>
  <c r="E47" i="5" s="1"/>
  <c r="D47" i="5"/>
  <c r="E21" i="5"/>
  <c r="E22" i="5" s="1"/>
  <c r="M9" i="3"/>
  <c r="D23" i="5"/>
  <c r="G22" i="3"/>
  <c r="F62" i="4"/>
  <c r="F63" i="4" s="1"/>
  <c r="I19" i="3" l="1"/>
  <c r="F41" i="5"/>
  <c r="F45" i="5" s="1"/>
  <c r="F66" i="4"/>
  <c r="F21" i="5"/>
  <c r="H22" i="3"/>
  <c r="E23" i="5"/>
  <c r="N9" i="3"/>
  <c r="F46" i="5"/>
  <c r="B27" i="3" l="1"/>
  <c r="I20" i="3"/>
  <c r="F6" i="5"/>
  <c r="F9" i="5" s="1"/>
  <c r="F20" i="5" s="1"/>
  <c r="D9" i="3"/>
  <c r="O8" i="3"/>
  <c r="F67" i="4"/>
  <c r="I21" i="3" s="1"/>
  <c r="D10" i="3"/>
  <c r="O7" i="3"/>
  <c r="F47" i="5"/>
  <c r="F5" i="3" s="1"/>
  <c r="B28" i="3" s="1"/>
  <c r="F22" i="5"/>
  <c r="F49" i="5"/>
  <c r="H5" i="3" s="1"/>
  <c r="F9" i="3"/>
  <c r="I22" i="3" l="1"/>
  <c r="O9" i="3"/>
  <c r="F23" i="5"/>
  <c r="C25" i="3"/>
  <c r="B25" i="3"/>
</calcChain>
</file>

<file path=xl/sharedStrings.xml><?xml version="1.0" encoding="utf-8"?>
<sst xmlns="http://schemas.openxmlformats.org/spreadsheetml/2006/main" count="297" uniqueCount="252">
  <si>
    <t>شوق للتدريب المؤسسي</t>
  </si>
  <si>
    <t>دراسة الجدوى المالية</t>
  </si>
  <si>
    <t>نموذج لثلاث سنوات لنشاط أو مشروع جديد: المبيعات والتكاليف والنقد ونقطة التعادل وفترة الاسترداد والعائد. مُعدّ للإمارات بالدرهم، مع ضريبة الشركات ومكافأة نهاية الخدمة.</t>
  </si>
  <si>
    <t>طريقة العمل</t>
  </si>
  <si>
    <t>المدخلات</t>
  </si>
  <si>
    <t>الورقة الوحيدة التي تكتب فيها. استبدل الأرقام التوضيحية بأرقامك، ودوّن مصدر كل رقم.</t>
  </si>
  <si>
    <t>الملخص</t>
  </si>
  <si>
    <t>الإجابة في صفحة واحدة: تكاليف التأسيس والتمويل وفترة الاسترداد وصافي القيمة الحالية والعائد ونقطة التعادل والفحوصات.</t>
  </si>
  <si>
    <t>قائمة الدخل</t>
  </si>
  <si>
    <t>الأرباح والخسائر لثلاث سنوات، من المبيعات حتى صافي الربح بعد ضريبة الشركات.</t>
  </si>
  <si>
    <t>التدفق النقدي</t>
  </si>
  <si>
    <t>النقد الداخل والخارج وقرض البنك ورأس المال العامل، مع تنبيه إذا انخفض النقد عن الحد الأدنى.</t>
  </si>
  <si>
    <t>نقطة التعادل</t>
  </si>
  <si>
    <t>المبيعات التي تحتاجها كل سنة لتغطية جميع التكاليف، مع مخطط نقطة التعادل.</t>
  </si>
  <si>
    <t>تحليل الحساسية</t>
  </si>
  <si>
    <t>الربح إذا اختلفت الأسعار أو الكميات عن الخطة، لتعرف هامش الأمان المتاح لك.</t>
  </si>
  <si>
    <t>دليل الألوان</t>
  </si>
  <si>
    <t>1,250</t>
  </si>
  <si>
    <t>أرقام زرقاء في خلايا مظللة: افتراض تكتبه بنفسك.</t>
  </si>
  <si>
    <t>أرقام سوداء: تُحسب لك. الكتابة فوقها تعطّل النموذج.</t>
  </si>
  <si>
    <t>أرقام فيروزية: منقولة من ورقة أخرى.</t>
  </si>
  <si>
    <t>(1,250)</t>
  </si>
  <si>
    <t>أقواس ولون أحمر داكن: مبلغ سالب، مثل خسارة أو نقد خارج.</t>
  </si>
  <si>
    <t>قبل أن تبدأ</t>
  </si>
  <si>
    <t>•</t>
  </si>
  <si>
    <t>أدخل كل الأسعار والتكاليف دون ضريبة القيمة المضافة، والمبالغ سنوية ما لم يذكر العنوان أنها شهرية.</t>
  </si>
  <si>
    <t>دوّن مصدر كل رقم في عمود «المصدر أو ملاحظة»: عرض سعر أو قائمة أسعار أو سعر السوق. النموذج لا يكون أدق من افتراضاته.</t>
  </si>
  <si>
    <t>المثال مقهى في حي سكني. امسح محتوى الصفوف التي لا تحتاجها بدلًا من حذفها.</t>
  </si>
  <si>
    <t>كل الأوراق عدا المدخلات محمية دون كلمة مرور حتى لا يكتب فوقها أحد بالخطأ. لتعديل إحداها اختر «مراجعة» ثم «إلغاء حماية الورقة».</t>
  </si>
  <si>
    <t>من الأرقام إلى القرار</t>
  </si>
  <si>
    <t>دراسة الجدوى أكثر من جدول بيانات: أبحاث السوق وراء أرقام المبيعات، والمخاطر، والحجة التي تقدمها إلى بنك أو شريك أو مستثمر. تشرح دورة أساسيات دراسة الجدوى في شوق للتدريب المؤسسي كل خطوة، بالعربية والإنجليزية.</t>
  </si>
  <si>
    <t>تعرّف على الدورة في training.shogconsulting.com</t>
  </si>
  <si>
    <t>استخدام مجاني وتعديل حر. النتائج تقديرات للتخطيط، وليست مشورة مالية أو ضريبية أو قانونية. نموذج من شوق للتدريب المؤسسي، الإصدار 1.0، 2026.</t>
  </si>
  <si>
    <t>كل الافتراضات التي يستخدمها النموذج. اكتب في الخلايا المظللة فقط، وتُحسب بقية الأوراق من هنا.</t>
  </si>
  <si>
    <t>مثال: مقهى في حي سكني بدبي. استبدل الأرقام المظللة بأرقامك، وامسح الصفوف التي لا تحتاجها.</t>
  </si>
  <si>
    <t>المشروع</t>
  </si>
  <si>
    <t>اسم النشاط أو المشروع</t>
  </si>
  <si>
    <t>مقهى الحي</t>
  </si>
  <si>
    <t>الموقع</t>
  </si>
  <si>
    <t>دبي، الإمارات</t>
  </si>
  <si>
    <t>العملة</t>
  </si>
  <si>
    <t>درهم</t>
  </si>
  <si>
    <t>سنة التشغيل الأولى</t>
  </si>
  <si>
    <t>المبيعات  ·  الأسعار والتكاليف دون ضريبة القيمة المضافة</t>
  </si>
  <si>
    <t>المنتج أو الخدمة</t>
  </si>
  <si>
    <t>الوحدة</t>
  </si>
  <si>
    <t>سعر الوحدة، السنة 1</t>
  </si>
  <si>
    <t>الكمية المباعة، السنة 1</t>
  </si>
  <si>
    <t>نمو الكمية، السنة 2</t>
  </si>
  <si>
    <t>نمو الكمية، السنة 3</t>
  </si>
  <si>
    <t>التكلفة المباشرة للوحدة، السنة 1</t>
  </si>
  <si>
    <t>المصدر أو ملاحظة</t>
  </si>
  <si>
    <t>مشروبات ساخنة وباردة</t>
  </si>
  <si>
    <t>كوب</t>
  </si>
  <si>
    <t>مثال: 150 كوبًا يوميًا، 360 يومًا في السنة</t>
  </si>
  <si>
    <t>مأكولات ومعجنات</t>
  </si>
  <si>
    <t>قطعة</t>
  </si>
  <si>
    <t>مثال: نحو 70 قطعة يوميًا</t>
  </si>
  <si>
    <t>حبوب قهوة للبيع</t>
  </si>
  <si>
    <t>كيس</t>
  </si>
  <si>
    <t>مثال: قائمة أسعار المحمصة</t>
  </si>
  <si>
    <t>طلبات ضيافة للمكاتب</t>
  </si>
  <si>
    <t>طلب</t>
  </si>
  <si>
    <t>مثال: خمسة طلبات شهريًا</t>
  </si>
  <si>
    <t>زيادة الأسعار سنويًا</t>
  </si>
  <si>
    <t>زيادة التكاليف المباشرة سنويًا</t>
  </si>
  <si>
    <t>رسوم البطاقات وتطبيقات التوصيل (% من المبيعات)</t>
  </si>
  <si>
    <t>تأخذ أجهزة الدفع بالبطاقات وتطبيقات التوصيل حصة من كل عملية بيع. اتركها 0% إذا لم تنطبق.</t>
  </si>
  <si>
    <t>الموظفون</t>
  </si>
  <si>
    <t>الوظيفة</t>
  </si>
  <si>
    <t>الراتب الشهري للفرد</t>
  </si>
  <si>
    <t>العدد، السنة 1</t>
  </si>
  <si>
    <t>العدد، السنة 2</t>
  </si>
  <si>
    <t>العدد، السنة 3</t>
  </si>
  <si>
    <t>مدير المقهى</t>
  </si>
  <si>
    <t>مثال: سعر السوق في المنطقة</t>
  </si>
  <si>
    <t>باريستا</t>
  </si>
  <si>
    <t>باريستا رابع من السنة 2</t>
  </si>
  <si>
    <t>موظفو المطبخ</t>
  </si>
  <si>
    <t>مقدمو الخدمة والكاشير</t>
  </si>
  <si>
    <t>زيادة الرواتب سنويًا</t>
  </si>
  <si>
    <t>الراتب الأساسي كنسبة من إجمالي الراتب</t>
  </si>
  <si>
    <t>تُحسب مكافأة نهاية الخدمة على الراتب الأساسي، لا على إجمالي الراتب.</t>
  </si>
  <si>
    <t>مكافأة نهاية الخدمة (أيام من الراتب الأساسي عن كل سنة)</t>
  </si>
  <si>
    <t>قانون العمل الإماراتي: 21 يومًا من الراتب الأساسي عن كل سنة من سنوات الخدمة الخمس الأولى.</t>
  </si>
  <si>
    <t>التأمين الصحي للفرد سنويًا</t>
  </si>
  <si>
    <t>رقم توضيحي. التأمين الصحي إلزامي للموظفين في الإمارات.</t>
  </si>
  <si>
    <t>تكلفة التأشيرة والتعيين لكل موظف جديد</t>
  </si>
  <si>
    <t>رقم توضيحي. يُحتسب في السنة التي تُضاف فيها الوظيفة.</t>
  </si>
  <si>
    <t>التكاليف التشغيلية  ·  سنويًا، دون ضريبة القيمة المضافة</t>
  </si>
  <si>
    <t>البند</t>
  </si>
  <si>
    <t>مبلغ السنة 1</t>
  </si>
  <si>
    <t>الزيادة السنوية</t>
  </si>
  <si>
    <t>الإيجار</t>
  </si>
  <si>
    <t>مثال: عرض سعر من المالك</t>
  </si>
  <si>
    <t>الكهرباء والماء والإنترنت</t>
  </si>
  <si>
    <t>الرخصة التجارية والتصاريح</t>
  </si>
  <si>
    <t>تُجدد سنويًا</t>
  </si>
  <si>
    <t>التسويق والإعلان</t>
  </si>
  <si>
    <t>البرمجيات ونظام نقاط البيع وتطبيقات التوصيل</t>
  </si>
  <si>
    <t>التأمين</t>
  </si>
  <si>
    <t>المحاسبة والتدقيق</t>
  </si>
  <si>
    <t>الصيانة والتنظيف</t>
  </si>
  <si>
    <t>تكاليف أخرى</t>
  </si>
  <si>
    <t>تكاليف التأسيس  ·  تُنفق قبل الافتتاح</t>
  </si>
  <si>
    <t>المبلغ</t>
  </si>
  <si>
    <t>النوع</t>
  </si>
  <si>
    <t>العمر الإنتاجي (سنوات)</t>
  </si>
  <si>
    <t>التجهيز والأثاث</t>
  </si>
  <si>
    <t>أصل</t>
  </si>
  <si>
    <t>مثال: عرض سعر من المقاول</t>
  </si>
  <si>
    <t>معدات المطبخ والقهوة</t>
  </si>
  <si>
    <t>نقاط البيع وتقنية المعلومات والأمن</t>
  </si>
  <si>
    <t>وديعة الإيجار</t>
  </si>
  <si>
    <t>وديعة</t>
  </si>
  <si>
    <t>تُسترد عند انتهاء عقد الإيجار</t>
  </si>
  <si>
    <t>رسوم الترخيص والإجراءات القانونية والتأسيس</t>
  </si>
  <si>
    <t>مصروف</t>
  </si>
  <si>
    <t>التسويق والتدريب قبل الافتتاح</t>
  </si>
  <si>
    <t>أصل: التجهيز والمعدات وكل ما يدوم، وتوزَّع تكلفته على عمره الإنتاجي كاستهلاك. مصروف: تكلفة لمرة واحدة تُحمَّل قبل الافتتاح. وديعة: مبلغ يُسترد، فلا يُعد تكلفة، لكن النقد يبقى محتجزًا.</t>
  </si>
  <si>
    <t>التمويل</t>
  </si>
  <si>
    <t>رأس مال المالك</t>
  </si>
  <si>
    <t>قرض بنكي</t>
  </si>
  <si>
    <t>يُستلم قبل الافتتاح ويُسدد على أقساط سنوية متساوية تشمل الفائدة.</t>
  </si>
  <si>
    <t>سعر فائدة القرض سنويًا</t>
  </si>
  <si>
    <t>مدة القرض (سنوات)</t>
  </si>
  <si>
    <t>رأس المال العامل والنقد</t>
  </si>
  <si>
    <t>الأيام التي يستغرقها العملاء للدفع</t>
  </si>
  <si>
    <t>معظم المبيعات بالبطاقات أو نقدًا، فيدفع العملاء فورًا تقريبًا. طلبات المكاتب بالفواتير ترفع هذا الرقم.</t>
  </si>
  <si>
    <t>أيام المخزون</t>
  </si>
  <si>
    <t>الأيام التي تستغرقها للدفع للموردين</t>
  </si>
  <si>
    <t>الحد الأدنى للنقد في البنك</t>
  </si>
  <si>
    <t>ينبّهك النموذج عندما ينخفض النقد في نهاية أي فترة عن هذا الحد.</t>
  </si>
  <si>
    <t>الضريبة والعائد</t>
  </si>
  <si>
    <t>نسبة ضريبة الشركات</t>
  </si>
  <si>
    <t>ضريبة الشركات في الإمارات: 9% على الدخل الخاضع للضريبة فوق الشريحة المعفاة.</t>
  </si>
  <si>
    <t>الدخل الخاضع للضريبة بنسبة 0%</t>
  </si>
  <si>
    <t>أول 375,000 درهم من الدخل الخاضع للضريبة كل سنة تخضع لنسبة 0%.</t>
  </si>
  <si>
    <t>أقصى نسبة من دخل السنة الخاضع للضريبة تقابلها الخسائر السابقة</t>
  </si>
  <si>
    <t>تُرحَّل الخسائر الضريبية، ويمكن أن تقابل حتى 75% من الدخل الخاضع للضريبة في سنة لاحقة.</t>
  </si>
  <si>
    <t>معدل الخصم: العائد السنوي الذي تطلبه</t>
  </si>
  <si>
    <t>يُستخدم لحساب صافي القيمة الحالية. كلما ارتفع كان الاختبار أشد.</t>
  </si>
  <si>
    <t>قيمة المشروع في نهاية السنة 3 (اختياري)</t>
  </si>
  <si>
    <t>اتركها 0 لتقييم المشروع على سنواته الثلاث الأولى وحدها.</t>
  </si>
  <si>
    <t>ضريبة القيمة المضافة: أدخل كل الأسعار والتكاليف دون الضريبة. الضريبة التي تحصّلها من العملاء تُسدَّد للهيئة الاتحادية للضرائب فلا تُعد دخلًا، والضريبة التي تدفعها للموردين تُسترد عادة. يصبح التسجيل إلزاميًا عندما تتجاوز المبيعات الخاضعة للضريبة 375,000 درهم خلال 12 شهرًا.</t>
  </si>
  <si>
    <t>القواعد الضريبية تتغير. الأرقام أعلاه مدخلات يمكنك تحديثها، فراجع وضعك مع مستشار ضريبي.</t>
  </si>
  <si>
    <t>تكاليف التأسيس</t>
  </si>
  <si>
    <t>التمويل المتوفر</t>
  </si>
  <si>
    <t>فترة الاسترداد</t>
  </si>
  <si>
    <t>صافي القيمة الحالية</t>
  </si>
  <si>
    <t>بيانات المخطط</t>
  </si>
  <si>
    <t>قبل الافتتاح</t>
  </si>
  <si>
    <t>المبيعات</t>
  </si>
  <si>
    <t>إجمالي التكاليف</t>
  </si>
  <si>
    <t>مبيعات السنة 3</t>
  </si>
  <si>
    <t>صافي ربح السنة 3</t>
  </si>
  <si>
    <t>معدل العائد الداخلي</t>
  </si>
  <si>
    <t>مبيعات التعادل شهريًا</t>
  </si>
  <si>
    <t>صافي الربح</t>
  </si>
  <si>
    <t>النقد في النهاية</t>
  </si>
  <si>
    <t>ثلاث سنوات في لمحة</t>
  </si>
  <si>
    <t>مجمل الربح</t>
  </si>
  <si>
    <t>هامش مجمل الربح</t>
  </si>
  <si>
    <t>الربح التشغيلي قبل الاستهلاك</t>
  </si>
  <si>
    <t>ضريبة الشركات</t>
  </si>
  <si>
    <t>هامش صافي الربح</t>
  </si>
  <si>
    <t>النقد في نهاية الفترة</t>
  </si>
  <si>
    <t>الفحوصات</t>
  </si>
  <si>
    <t>المبيعات والتكاليف وصافي الربح</t>
  </si>
  <si>
    <t>النقد في نهاية كل فترة</t>
  </si>
  <si>
    <t>محسوبة من المدخلات. لا شيء للكتابة هنا.</t>
  </si>
  <si>
    <t>الكميات المباعة</t>
  </si>
  <si>
    <t>إجمالي المبيعات</t>
  </si>
  <si>
    <t>التكاليف المباشرة</t>
  </si>
  <si>
    <t>رسوم البطاقات وتطبيقات التوصيل</t>
  </si>
  <si>
    <t>إجمالي التكاليف المباشرة</t>
  </si>
  <si>
    <t>عدد الموظفين</t>
  </si>
  <si>
    <t>الرواتب</t>
  </si>
  <si>
    <t>مكافأة نهاية الخدمة</t>
  </si>
  <si>
    <t>التأمين الصحي</t>
  </si>
  <si>
    <t>التأشيرات وتكاليف التعيين للموظفين الجدد</t>
  </si>
  <si>
    <t>إجمالي تكاليف الموظفين</t>
  </si>
  <si>
    <t>التكاليف التشغيلية</t>
  </si>
  <si>
    <t>مصروفات التأسيس</t>
  </si>
  <si>
    <t>إجمالي التكاليف التشغيلية</t>
  </si>
  <si>
    <t>الربح التشغيلي قبل الاستهلاك (EBITDA)</t>
  </si>
  <si>
    <t>الاستهلاك</t>
  </si>
  <si>
    <t>الربح التشغيلي</t>
  </si>
  <si>
    <t>فوائد القرض</t>
  </si>
  <si>
    <t>الربح قبل الضريبة</t>
  </si>
  <si>
    <t>الخسائر الضريبية المرحّلة من قبل</t>
  </si>
  <si>
    <t>الخسائر المستخدمة هذه السنة</t>
  </si>
  <si>
    <t>الدخل الخاضع للضريبة</t>
  </si>
  <si>
    <t>الخسائر الضريبية المرحّلة لاحقًا</t>
  </si>
  <si>
    <t>النقد الداخل والخارج في كل فترة، وقرض البنك، والأرقام التي تقوم عليها فترة الاسترداد وصافي القيمة الحالية ومعدل العائد.</t>
  </si>
  <si>
    <t>النقد من التشغيل</t>
  </si>
  <si>
    <t>إضافة الاستهلاك (ليس تكلفة نقدية)</t>
  </si>
  <si>
    <t>رأس المال العامل: نقد محرَّر (+) أو محتجز (-)</t>
  </si>
  <si>
    <t>إنفاق التأسيس</t>
  </si>
  <si>
    <t>الأصول والودائع</t>
  </si>
  <si>
    <t>القرض المستلم</t>
  </si>
  <si>
    <t>سداد القرض</t>
  </si>
  <si>
    <t>النقد من التمويل</t>
  </si>
  <si>
    <t>صافي التدفق النقدي</t>
  </si>
  <si>
    <t>النقد في بداية الفترة</t>
  </si>
  <si>
    <t>مقارنة بالحد الأدنى للنقد</t>
  </si>
  <si>
    <t>رأس المال العامل</t>
  </si>
  <si>
    <t>المستحق من العملاء</t>
  </si>
  <si>
    <t>المخزون</t>
  </si>
  <si>
    <t>المستحق للموردين</t>
  </si>
  <si>
    <t>الزيادة في رأس المال العامل</t>
  </si>
  <si>
    <t>قرض البنك</t>
  </si>
  <si>
    <t>الرصيد في البداية</t>
  </si>
  <si>
    <t>المسحوب</t>
  </si>
  <si>
    <t>الفائدة</t>
  </si>
  <si>
    <t>أصل القرض المسدد</t>
  </si>
  <si>
    <t>الرصيد في النهاية</t>
  </si>
  <si>
    <t>التدفق النقدي للمشروع: أساس فترة الاسترداد وصافي القيمة الحالية ومعدل العائد</t>
  </si>
  <si>
    <t>ناقص ضريبة الشركات</t>
  </si>
  <si>
    <t>ناقص أصول التأسيس والودائع</t>
  </si>
  <si>
    <t>قيمة المشروع في نهاية السنة 3</t>
  </si>
  <si>
    <t>التدفق النقدي للمشروع</t>
  </si>
  <si>
    <t>التراكمي</t>
  </si>
  <si>
    <t>بلوغ الاسترداد (سنوات بعد الافتتاح)</t>
  </si>
  <si>
    <t>معامل الخصم</t>
  </si>
  <si>
    <t>القيمة الحالية</t>
  </si>
  <si>
    <t>المبيعات التي تحتاجها كل سنة لتغطية جميع التكاليف، وإلى أي حد يمكن أن تنخفض المبيعات قبل أن تتكبد خسارة.</t>
  </si>
  <si>
    <t>التكاليف المتغيرة: التكاليف المباشرة والرسوم</t>
  </si>
  <si>
    <t>المساهمة بعد التكاليف المتغيرة</t>
  </si>
  <si>
    <t>هامش المساهمة</t>
  </si>
  <si>
    <t>التكاليف الثابتة: الموظفون والتكاليف التشغيلية والاستهلاك والفوائد</t>
  </si>
  <si>
    <t>مبيعات التعادل سنويًا</t>
  </si>
  <si>
    <t>المبيعات المخططة شهريًا</t>
  </si>
  <si>
    <t>هامش الأمان: إلى أي حد يمكن أن تنخفض المبيعات قبل الخسارة</t>
  </si>
  <si>
    <t>السنة 1: المبيعات والتكاليف عند مستويات مبيعات مختلفة (يرسمها المخطط)</t>
  </si>
  <si>
    <t>مستوى المبيعات، % من خطة السنة 1</t>
  </si>
  <si>
    <t>التكاليف الثابتة</t>
  </si>
  <si>
    <t>حيث يتقاطع خط إجمالي التكاليف الأحمر مع خط المبيعات الأزرق، تغطي المبيعات جميع التكاليف. بعد نقطة التقاطع تحقق ربحًا، وقبلها خسارة. الخط المتقطع هو التكاليف الثابتة: تدفعها حتى دون أي مبيعات.</t>
  </si>
  <si>
    <t>الربح قبل الضريبة إذا اختلفت الأسعار أو كميات المبيعات عن الخطة. غيّر الخلايا المظللة لاختبار نسب أخرى.</t>
  </si>
  <si>
    <t>السنة المختبرة</t>
  </si>
  <si>
    <t>السنة الأولى هي الأصعب عادة: تكاليف سنة كاملة بينما المبيعات ما زالت في طور النمو.</t>
  </si>
  <si>
    <t>تغيّر السعر ↓   تغيّر الكمية ←</t>
  </si>
  <si>
    <t>خطة السنة المختارة</t>
  </si>
  <si>
    <t>التكاليف المباشرة للوحدات المباعة</t>
  </si>
  <si>
    <t>رسوم البطاقات والتطبيقات، % من المبيعات</t>
  </si>
  <si>
    <t>الموظفون والتكاليف التشغيلية والاستهلاك والفوائد: تبقى ثابتة مهما كانت المبيعات.</t>
  </si>
  <si>
    <t>هامش الأمان المتاح</t>
  </si>
  <si>
    <t>كمية التعادل، % من الخطة</t>
  </si>
  <si>
    <t>عند الأسعار المخططة، يمكن أن تنخفض الكمية المباعة إلى هذه النسبة من الخطة قبل أن يصل الربح إلى الصفر.</t>
  </si>
  <si>
    <t>سعر التعادل، % من الخطة</t>
  </si>
  <si>
    <t>عند الكميات المخططة، يمكن أن تنخفض الأسعار إلى هذه النسبة من الخطة قبل أن يصل الربح إلى الصفر.</t>
  </si>
  <si>
    <t>تعيد كل خلية حساب الربح قبل الضريبة للسنة المختارة: تتغير المبيعات مع السعر والكمية، والتكاليف المباشرة مع الكمية فقط، والرسوم مع المبيعات، وتبقى التكاليف الثابتة كما هي. الخلية المحاطة بإطار هي الخطة.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</si>
</sst>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quot;–&quot;"/>
    <numFmt numFmtId="165" formatCode="0.0%;\(0.0%\);&quot;–&quot;"/>
    <numFmt numFmtId="166" formatCode="0.000"/>
    <numFmt numFmtId="167" formatCode="0.0"/>
    <numFmt numFmtId="168" formatCode="\+0%;\-0%;0%"/>
    <numFmt numFmtId="169" formatCode="0.0%"/>
    <numFmt numFmtId="170" formatCode="0.0\ &quot;سنة&quot;"/>
  </numFmts>
  <fonts count="33" x14ac:knownFonts="1">
    <font>
      <sz val="11"/>
      <color theme="1"/>
      <name val="Calibri"/>
      <family val="2"/>
      <scheme val="minor"/>
    </font>
    <font>
      <b/>
      <sz val="16"/>
      <color rgb="FF0F294D"/>
      <name val="Arial"/>
    </font>
    <font>
      <sz val="10"/>
      <color rgb="FF6A727C"/>
      <name val="Arial"/>
    </font>
    <font>
      <i/>
      <sz val="9"/>
      <color rgb="FF7A4E00"/>
      <name val="Arial"/>
    </font>
    <font>
      <b/>
      <sz val="9"/>
      <color rgb="FFFFFFFF"/>
      <name val="Arial"/>
    </font>
    <font>
      <sz val="10"/>
      <color rgb="FF16191D"/>
      <name val="Arial"/>
    </font>
    <font>
      <sz val="10"/>
      <color rgb="FF1557B0"/>
      <name val="Arial"/>
    </font>
    <font>
      <i/>
      <sz val="9"/>
      <color rgb="FF6A727C"/>
      <name val="Arial"/>
    </font>
    <font>
      <i/>
      <sz val="8"/>
      <color rgb="FF6A727C"/>
      <name val="Arial"/>
    </font>
    <font>
      <sz val="8"/>
      <color rgb="FF6A727C"/>
      <name val="Arial"/>
    </font>
    <font>
      <sz val="9"/>
      <color rgb="FF6A727C"/>
      <name val="Arial"/>
    </font>
    <font>
      <b/>
      <sz val="10"/>
      <color rgb="FF0F294D"/>
      <name val="Arial"/>
    </font>
    <font>
      <sz val="10"/>
      <color rgb="FF087F8C"/>
      <name val="Arial"/>
    </font>
    <font>
      <b/>
      <sz val="10"/>
      <color rgb="FF16191D"/>
      <name val="Arial"/>
    </font>
    <font>
      <i/>
      <sz val="10"/>
      <color rgb="FF6A727C"/>
      <name val="Arial"/>
    </font>
    <font>
      <b/>
      <sz val="11"/>
      <color rgb="FF0F294D"/>
      <name val="Arial"/>
    </font>
    <font>
      <sz val="9"/>
      <color rgb="FF16191D"/>
      <name val="Arial"/>
    </font>
    <font>
      <b/>
      <sz val="8"/>
      <color rgb="FFFFFFFF"/>
      <name val="Arial"/>
    </font>
    <font>
      <b/>
      <sz val="10"/>
      <color rgb="FF1557B0"/>
      <name val="Arial"/>
    </font>
    <font>
      <b/>
      <sz val="7"/>
      <color rgb="FF6A727C"/>
      <name val="Arial"/>
    </font>
    <font>
      <b/>
      <sz val="17"/>
      <color rgb="FF0F294D"/>
      <name val="Arial"/>
    </font>
    <font>
      <b/>
      <sz val="17"/>
      <color rgb="FF087F8C"/>
      <name val="Arial"/>
    </font>
    <font>
      <b/>
      <sz val="10"/>
      <color rgb="FF087F8C"/>
      <name val="Arial"/>
    </font>
    <font>
      <b/>
      <sz val="9"/>
      <color rgb="FF6A727C"/>
      <name val="Arial"/>
    </font>
    <font>
      <b/>
      <sz val="9"/>
      <color rgb="FF4071BA"/>
      <name val="Arial"/>
    </font>
    <font>
      <b/>
      <sz val="20"/>
      <color rgb="FF0F294D"/>
      <name val="Arial"/>
    </font>
    <font>
      <sz val="11"/>
      <color rgb="FF6A727C"/>
      <name val="Arial"/>
    </font>
    <font>
      <b/>
      <sz val="9"/>
      <color rgb="FF1F4E84"/>
      <name val="Arial"/>
    </font>
    <font>
      <b/>
      <sz val="14"/>
      <color rgb="FF4071BA"/>
      <name val="Arial"/>
    </font>
    <font>
      <b/>
      <u/>
      <sz val="10"/>
      <color rgb="FF1F4E84"/>
      <name val="Arial"/>
    </font>
    <font>
      <sz val="10"/>
      <color rgb="FF8F1515"/>
      <name val="Arial"/>
    </font>
    <font>
      <b/>
      <sz val="11"/>
      <color rgb="FF4071BA"/>
      <name val="Arial"/>
    </font>
    <font>
      <b/>
      <u/>
      <sz val="10"/>
      <color rgb="FF4071BA"/>
      <name val="Arial"/>
    </font>
  </fonts>
  <fills count="11">
    <fill>
      <patternFill patternType="none"/>
    </fill>
    <fill>
      <patternFill patternType="gray125"/>
    </fill>
    <fill>
      <patternFill patternType="solid">
        <fgColor rgb="FFFCF3E5"/>
        <bgColor rgb="FFFCF3E5"/>
      </patternFill>
    </fill>
    <fill>
      <patternFill patternType="solid">
        <fgColor rgb="FF1F4E84"/>
        <bgColor rgb="FF1F4E84"/>
      </patternFill>
    </fill>
    <fill>
      <patternFill patternType="solid">
        <fgColor rgb="FFFBF1E0"/>
        <bgColor rgb="FFFBF1E0"/>
      </patternFill>
    </fill>
    <fill>
      <patternFill patternType="solid">
        <fgColor rgb="FF6A727C"/>
        <bgColor rgb="FF6A727C"/>
      </patternFill>
    </fill>
    <fill>
      <patternFill patternType="solid">
        <fgColor rgb="FFEFF1F6"/>
        <bgColor rgb="FFEFF1F6"/>
      </patternFill>
    </fill>
    <fill>
      <patternFill patternType="solid">
        <fgColor rgb="FF4071BA"/>
        <bgColor rgb="FF4071BA"/>
      </patternFill>
    </fill>
    <fill>
      <patternFill patternType="solid">
        <fgColor rgb="FFFFFFFF"/>
        <bgColor rgb="FFFFFFFF"/>
      </patternFill>
    </fill>
    <fill>
      <patternFill patternType="solid">
        <fgColor rgb="FF0F294D"/>
        <bgColor rgb="FF0F294D"/>
      </patternFill>
    </fill>
    <fill>
      <patternFill patternType="solid">
        <fgColor rgb="FFFCFBF8"/>
        <bgColor rgb="FFFCFBF8"/>
      </patternFill>
    </fill>
  </fills>
  <borders count="12">
    <border>
      <left/>
      <right/>
      <top/>
      <bottom/>
      <diagonal/>
    </border>
    <border>
      <left/>
      <right/>
      <top/>
      <bottom style="medium">
        <color rgb="FF4071BA"/>
      </bottom>
      <diagonal/>
    </border>
    <border>
      <left style="thin">
        <color rgb="FFF3D39D"/>
      </left>
      <right style="thin">
        <color rgb="FFF3D39D"/>
      </right>
      <top style="thin">
        <color rgb="FFF3D39D"/>
      </top>
      <bottom style="thin">
        <color rgb="FFF3D39D"/>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bottom style="thin">
        <color rgb="FF4071BA"/>
      </bottom>
      <diagonal/>
    </border>
    <border>
      <left/>
      <right/>
      <top style="thin">
        <color rgb="FF0F294D"/>
      </top>
      <bottom/>
      <diagonal/>
    </border>
    <border>
      <left/>
      <right/>
      <top style="thin">
        <color rgb="FF0F294D"/>
      </top>
      <bottom style="thin">
        <color rgb="FF0F294D"/>
      </bottom>
      <diagonal/>
    </border>
    <border>
      <left/>
      <right/>
      <top style="thin">
        <color rgb="FF0F294D"/>
      </top>
      <bottom style="double">
        <color rgb="FF0F294D"/>
      </bottom>
      <diagonal/>
    </border>
    <border>
      <left style="thin">
        <color rgb="FFE0E4EB"/>
      </left>
      <right style="thin">
        <color rgb="FFE0E4EB"/>
      </right>
      <top style="thin">
        <color rgb="FFE0E4EB"/>
      </top>
      <bottom style="thin">
        <color rgb="FFE0E4EB"/>
      </bottom>
      <diagonal/>
    </border>
    <border>
      <left/>
      <right/>
      <top/>
      <bottom style="thin">
        <color rgb="FFE0E4EB"/>
      </bottom>
      <diagonal/>
    </border>
  </borders>
  <cellStyleXfs count="1">
    <xf numFmtId="0" fontId="0" fillId="0" borderId="0"/>
  </cellStyleXfs>
  <cellXfs count="100">
    <xf numFmtId="0" fontId="0" fillId="0" borderId="0" xfId="0"/>
    <xf numFmtId="0" fontId="24" fillId="0" borderId="0" xfId="0" applyFont="1" applyAlignment="1">
      <alignment horizontal="right" vertical="center" readingOrder="2"/>
    </xf>
    <xf numFmtId="0" fontId="28" fillId="0" borderId="11" xfId="0" applyFont="1" applyBorder="1" applyAlignment="1">
      <alignment horizontal="center" vertical="center" wrapText="1" readingOrder="2"/>
    </xf>
    <xf numFmtId="0" fontId="29" fillId="0" borderId="11" xfId="0" applyFont="1" applyBorder="1" applyAlignment="1">
      <alignment horizontal="right" vertical="center" readingOrder="2"/>
    </xf>
    <xf numFmtId="0" fontId="6" fillId="4" borderId="2" xfId="0" applyFont="1" applyFill="1" applyBorder="1" applyAlignment="1">
      <alignment horizontal="left" vertical="center" indent="1" readingOrder="2"/>
    </xf>
    <xf numFmtId="0" fontId="5" fillId="0" borderId="0" xfId="0" applyFont="1" applyAlignment="1">
      <alignment horizontal="right" vertical="center" indent="1" readingOrder="2"/>
    </xf>
    <xf numFmtId="0" fontId="5" fillId="8" borderId="10" xfId="0" applyFont="1" applyFill="1" applyBorder="1" applyAlignment="1">
      <alignment horizontal="left" vertical="center" indent="1" readingOrder="2"/>
    </xf>
    <xf numFmtId="0" fontId="12" fillId="8" borderId="10" xfId="0" applyFont="1" applyFill="1" applyBorder="1" applyAlignment="1">
      <alignment horizontal="left" vertical="center" indent="1" readingOrder="2"/>
    </xf>
    <xf numFmtId="0" fontId="30" fillId="8" borderId="10" xfId="0" applyFont="1" applyFill="1" applyBorder="1" applyAlignment="1">
      <alignment horizontal="left" vertical="center" indent="1" readingOrder="2"/>
    </xf>
    <xf numFmtId="0" fontId="31" fillId="0" borderId="0" xfId="0" applyFont="1" applyAlignment="1">
      <alignment horizontal="center" vertical="center" readingOrder="2"/>
    </xf>
    <xf numFmtId="0" fontId="1" fillId="0" borderId="0" xfId="0" applyFont="1" applyAlignment="1">
      <alignment horizontal="right" vertical="center" readingOrder="2"/>
    </xf>
    <xf numFmtId="0" fontId="2" fillId="0" borderId="1" xfId="0" applyFont="1" applyBorder="1" applyAlignment="1">
      <alignment horizontal="right" vertical="center" readingOrder="2"/>
    </xf>
    <xf numFmtId="0" fontId="0" fillId="0" borderId="1" xfId="0" applyBorder="1"/>
    <xf numFmtId="0" fontId="5" fillId="0" borderId="0" xfId="0" applyFont="1" applyAlignment="1">
      <alignment horizontal="right" vertical="center" readingOrder="2"/>
    </xf>
    <xf numFmtId="0" fontId="6" fillId="4" borderId="2" xfId="0" applyFont="1" applyFill="1" applyBorder="1" applyAlignment="1" applyProtection="1">
      <alignment horizontal="right" vertical="center" indent="1" readingOrder="2"/>
      <protection locked="0"/>
    </xf>
    <xf numFmtId="1" fontId="6" fillId="4" borderId="2" xfId="0" applyNumberFormat="1" applyFont="1" applyFill="1" applyBorder="1" applyAlignment="1" applyProtection="1">
      <alignment horizontal="right" vertical="center" indent="1" readingOrder="2"/>
      <protection locked="0"/>
    </xf>
    <xf numFmtId="0" fontId="4" fillId="3" borderId="3" xfId="0" applyFont="1" applyFill="1" applyBorder="1" applyAlignment="1">
      <alignment horizontal="center" vertical="center" wrapText="1" readingOrder="2"/>
    </xf>
    <xf numFmtId="4" fontId="6" fillId="4" borderId="2" xfId="0" applyNumberFormat="1" applyFont="1" applyFill="1" applyBorder="1" applyAlignment="1" applyProtection="1">
      <alignment horizontal="left" vertical="center" readingOrder="2"/>
      <protection locked="0"/>
    </xf>
    <xf numFmtId="164" fontId="6" fillId="4" borderId="2" xfId="0" applyNumberFormat="1" applyFont="1" applyFill="1" applyBorder="1" applyAlignment="1" applyProtection="1">
      <alignment horizontal="left" vertical="center" readingOrder="2"/>
      <protection locked="0"/>
    </xf>
    <xf numFmtId="165" fontId="6" fillId="4" borderId="2" xfId="0" applyNumberFormat="1" applyFont="1" applyFill="1" applyBorder="1" applyAlignment="1" applyProtection="1">
      <alignment horizontal="left" vertical="center" readingOrder="2"/>
      <protection locked="0"/>
    </xf>
    <xf numFmtId="0" fontId="7" fillId="4" borderId="2" xfId="0" applyFont="1" applyFill="1" applyBorder="1" applyAlignment="1" applyProtection="1">
      <alignment horizontal="right" vertical="center" indent="1" readingOrder="2"/>
      <protection locked="0"/>
    </xf>
    <xf numFmtId="1" fontId="6" fillId="4" borderId="2" xfId="0" applyNumberFormat="1" applyFont="1" applyFill="1" applyBorder="1" applyAlignment="1" applyProtection="1">
      <alignment horizontal="left" vertical="center" readingOrder="2"/>
      <protection locked="0"/>
    </xf>
    <xf numFmtId="0" fontId="23" fillId="0" borderId="0" xfId="0" applyFont="1" applyAlignment="1">
      <alignment horizontal="right" vertical="center" readingOrder="2"/>
    </xf>
    <xf numFmtId="0" fontId="10" fillId="0" borderId="0" xfId="0" applyFont="1" applyAlignment="1">
      <alignment horizontal="right" vertical="center" readingOrder="2"/>
    </xf>
    <xf numFmtId="3" fontId="10" fillId="0" borderId="0" xfId="0" applyNumberFormat="1" applyFont="1"/>
    <xf numFmtId="0" fontId="11" fillId="0" borderId="6" xfId="0" applyFont="1" applyBorder="1" applyAlignment="1">
      <alignment horizontal="right" vertical="center" readingOrder="2"/>
    </xf>
    <xf numFmtId="0" fontId="0" fillId="0" borderId="6" xfId="0" applyBorder="1"/>
    <xf numFmtId="0" fontId="4" fillId="5" borderId="3" xfId="0" applyFont="1" applyFill="1" applyBorder="1" applyAlignment="1">
      <alignment horizontal="center" vertical="center" wrapText="1" readingOrder="2"/>
    </xf>
    <xf numFmtId="164" fontId="12" fillId="0" borderId="11" xfId="0" applyNumberFormat="1" applyFont="1" applyBorder="1" applyAlignment="1">
      <alignment horizontal="left" vertical="center" readingOrder="2"/>
    </xf>
    <xf numFmtId="165" fontId="12" fillId="0" borderId="11" xfId="0" applyNumberFormat="1" applyFont="1" applyBorder="1" applyAlignment="1">
      <alignment horizontal="left" vertical="center" readingOrder="2"/>
    </xf>
    <xf numFmtId="164" fontId="22" fillId="6" borderId="11" xfId="0" applyNumberFormat="1" applyFont="1" applyFill="1" applyBorder="1" applyAlignment="1">
      <alignment horizontal="left" vertical="center" readingOrder="2"/>
    </xf>
    <xf numFmtId="0" fontId="4" fillId="0" borderId="0" xfId="0" applyFont="1" applyAlignment="1">
      <alignment horizontal="center" vertical="center" wrapText="1" readingOrder="2"/>
    </xf>
    <xf numFmtId="0" fontId="7" fillId="0" borderId="0" xfId="0" applyFont="1" applyAlignment="1">
      <alignment horizontal="right" vertical="center" readingOrder="2"/>
    </xf>
    <xf numFmtId="0" fontId="12" fillId="0" borderId="0" xfId="0" applyFont="1" applyAlignment="1">
      <alignment horizontal="right" vertical="center" indent="1" readingOrder="2"/>
    </xf>
    <xf numFmtId="164" fontId="5" fillId="0" borderId="0" xfId="0" applyNumberFormat="1" applyFont="1" applyAlignment="1">
      <alignment horizontal="left" vertical="center" readingOrder="2"/>
    </xf>
    <xf numFmtId="0" fontId="13" fillId="0" borderId="7" xfId="0" applyFont="1" applyBorder="1" applyAlignment="1">
      <alignment horizontal="right" vertical="center" readingOrder="2"/>
    </xf>
    <xf numFmtId="164" fontId="13" fillId="0" borderId="7" xfId="0" applyNumberFormat="1" applyFont="1" applyBorder="1" applyAlignment="1">
      <alignment horizontal="left" vertical="center" readingOrder="2"/>
    </xf>
    <xf numFmtId="0" fontId="11" fillId="6" borderId="8" xfId="0" applyFont="1" applyFill="1" applyBorder="1" applyAlignment="1">
      <alignment horizontal="right" vertical="center" readingOrder="2"/>
    </xf>
    <xf numFmtId="164" fontId="11" fillId="6" borderId="8" xfId="0" applyNumberFormat="1" applyFont="1" applyFill="1" applyBorder="1" applyAlignment="1">
      <alignment horizontal="left" vertical="center" readingOrder="2"/>
    </xf>
    <xf numFmtId="0" fontId="14" fillId="0" borderId="0" xfId="0" applyFont="1" applyAlignment="1">
      <alignment horizontal="right" vertical="center" indent="1" readingOrder="2"/>
    </xf>
    <xf numFmtId="165" fontId="14" fillId="0" borderId="0" xfId="0" applyNumberFormat="1" applyFont="1" applyAlignment="1">
      <alignment horizontal="left" vertical="center" readingOrder="2"/>
    </xf>
    <xf numFmtId="164" fontId="14" fillId="0" borderId="0" xfId="0" applyNumberFormat="1" applyFont="1" applyAlignment="1">
      <alignment horizontal="left" vertical="center" readingOrder="2"/>
    </xf>
    <xf numFmtId="164" fontId="12" fillId="0" borderId="0" xfId="0" applyNumberFormat="1" applyFont="1" applyAlignment="1">
      <alignment horizontal="left" vertical="center" readingOrder="2"/>
    </xf>
    <xf numFmtId="0" fontId="2" fillId="0" borderId="0" xfId="0" applyFont="1" applyAlignment="1">
      <alignment horizontal="right" vertical="center" indent="1" readingOrder="2"/>
    </xf>
    <xf numFmtId="164" fontId="2" fillId="0" borderId="0" xfId="0" applyNumberFormat="1" applyFont="1" applyAlignment="1">
      <alignment horizontal="left" vertical="center" readingOrder="2"/>
    </xf>
    <xf numFmtId="0" fontId="15" fillId="6" borderId="9" xfId="0" applyFont="1" applyFill="1" applyBorder="1" applyAlignment="1">
      <alignment horizontal="right" vertical="center" readingOrder="2"/>
    </xf>
    <xf numFmtId="164" fontId="15" fillId="6" borderId="9" xfId="0" applyNumberFormat="1" applyFont="1" applyFill="1" applyBorder="1" applyAlignment="1">
      <alignment horizontal="left" vertical="center" readingOrder="2"/>
    </xf>
    <xf numFmtId="0" fontId="11" fillId="0" borderId="7" xfId="0" applyFont="1" applyBorder="1" applyAlignment="1">
      <alignment horizontal="right" vertical="center" readingOrder="2"/>
    </xf>
    <xf numFmtId="0" fontId="5" fillId="0" borderId="0" xfId="0" applyFont="1" applyAlignment="1">
      <alignment horizontal="center" vertical="center" readingOrder="2"/>
    </xf>
    <xf numFmtId="167" fontId="2" fillId="0" borderId="0" xfId="0" applyNumberFormat="1" applyFont="1" applyAlignment="1">
      <alignment horizontal="left" vertical="center" readingOrder="2"/>
    </xf>
    <xf numFmtId="166" fontId="2" fillId="0" borderId="0" xfId="0" applyNumberFormat="1" applyFont="1" applyAlignment="1">
      <alignment horizontal="left" vertical="center" readingOrder="2"/>
    </xf>
    <xf numFmtId="165" fontId="5" fillId="0" borderId="0" xfId="0" applyNumberFormat="1" applyFont="1" applyAlignment="1">
      <alignment horizontal="left" vertical="center" readingOrder="2"/>
    </xf>
    <xf numFmtId="0" fontId="11" fillId="6" borderId="0" xfId="0" applyFont="1" applyFill="1" applyAlignment="1">
      <alignment horizontal="right" vertical="center" readingOrder="2"/>
    </xf>
    <xf numFmtId="164" fontId="11" fillId="6" borderId="0" xfId="0" applyNumberFormat="1" applyFont="1" applyFill="1" applyAlignment="1">
      <alignment horizontal="left" vertical="center" readingOrder="2"/>
    </xf>
    <xf numFmtId="165" fontId="11" fillId="6" borderId="0" xfId="0" applyNumberFormat="1" applyFont="1" applyFill="1" applyAlignment="1">
      <alignment horizontal="left" vertical="center" readingOrder="2"/>
    </xf>
    <xf numFmtId="0" fontId="4" fillId="7" borderId="3" xfId="0" applyFont="1" applyFill="1" applyBorder="1" applyAlignment="1">
      <alignment horizontal="center" vertical="center" wrapText="1" readingOrder="2"/>
    </xf>
    <xf numFmtId="9" fontId="10" fillId="0" borderId="10" xfId="0" applyNumberFormat="1" applyFont="1" applyBorder="1" applyAlignment="1">
      <alignment horizontal="center" vertical="center" wrapText="1" readingOrder="2"/>
    </xf>
    <xf numFmtId="164" fontId="16" fillId="0" borderId="10" xfId="0" applyNumberFormat="1" applyFont="1" applyBorder="1" applyAlignment="1">
      <alignment horizontal="left" vertical="center" readingOrder="2"/>
    </xf>
    <xf numFmtId="0" fontId="11" fillId="0" borderId="0" xfId="0" applyFont="1" applyAlignment="1">
      <alignment horizontal="right" vertical="center" readingOrder="2"/>
    </xf>
    <xf numFmtId="1" fontId="6" fillId="4" borderId="2" xfId="0" applyNumberFormat="1" applyFont="1" applyFill="1" applyBorder="1" applyAlignment="1" applyProtection="1">
      <alignment horizontal="center" vertical="center" readingOrder="2"/>
      <protection locked="0"/>
    </xf>
    <xf numFmtId="0" fontId="17" fillId="3" borderId="0" xfId="0" applyFont="1" applyFill="1" applyAlignment="1">
      <alignment horizontal="center" vertical="center" wrapText="1" readingOrder="2"/>
    </xf>
    <xf numFmtId="168" fontId="18" fillId="4" borderId="2" xfId="0" applyNumberFormat="1" applyFont="1" applyFill="1" applyBorder="1" applyAlignment="1" applyProtection="1">
      <alignment horizontal="center" vertical="center" readingOrder="2"/>
      <protection locked="0"/>
    </xf>
    <xf numFmtId="164" fontId="5" fillId="0" borderId="3" xfId="0" applyNumberFormat="1" applyFont="1" applyBorder="1" applyAlignment="1">
      <alignment horizontal="center" vertical="center" readingOrder="2"/>
    </xf>
    <xf numFmtId="165" fontId="12" fillId="0" borderId="0" xfId="0" applyNumberFormat="1" applyFont="1" applyAlignment="1">
      <alignment horizontal="left" vertical="center" readingOrder="2"/>
    </xf>
    <xf numFmtId="169" fontId="11" fillId="6" borderId="0" xfId="0" applyNumberFormat="1" applyFont="1" applyFill="1" applyAlignment="1">
      <alignment horizontal="left" vertical="center" readingOrder="2"/>
    </xf>
    <xf numFmtId="0" fontId="32" fillId="10" borderId="0" xfId="0" applyFont="1" applyFill="1" applyAlignment="1">
      <alignment horizontal="right" vertical="center" indent="1" readingOrder="2"/>
    </xf>
    <xf numFmtId="0" fontId="0" fillId="10" borderId="0" xfId="0" applyFill="1"/>
    <xf numFmtId="0" fontId="27" fillId="0" borderId="0" xfId="0" applyFont="1" applyAlignment="1">
      <alignment horizontal="right" vertical="center" readingOrder="2"/>
    </xf>
    <xf numFmtId="0" fontId="0" fillId="0" borderId="0" xfId="0"/>
    <xf numFmtId="0" fontId="26" fillId="0" borderId="0" xfId="0" applyFont="1" applyAlignment="1">
      <alignment horizontal="right" vertical="center" wrapText="1" readingOrder="2"/>
    </xf>
    <xf numFmtId="0" fontId="9" fillId="0" borderId="0" xfId="0" applyFont="1" applyAlignment="1">
      <alignment horizontal="right" vertical="center" wrapText="1" readingOrder="2"/>
    </xf>
    <xf numFmtId="0" fontId="5" fillId="0" borderId="0" xfId="0" applyFont="1" applyAlignment="1">
      <alignment horizontal="right" vertical="center" wrapText="1" readingOrder="2"/>
    </xf>
    <xf numFmtId="0" fontId="5" fillId="10" borderId="0" xfId="0" applyFont="1" applyFill="1" applyAlignment="1">
      <alignment horizontal="right" vertical="center" wrapText="1" indent="1" readingOrder="2"/>
    </xf>
    <xf numFmtId="0" fontId="5" fillId="0" borderId="11" xfId="0" applyFont="1" applyBorder="1" applyAlignment="1">
      <alignment horizontal="right" vertical="center" wrapText="1" readingOrder="2"/>
    </xf>
    <xf numFmtId="0" fontId="0" fillId="0" borderId="11" xfId="0" applyBorder="1"/>
    <xf numFmtId="0" fontId="4" fillId="9" borderId="0" xfId="0" applyFont="1" applyFill="1" applyAlignment="1">
      <alignment horizontal="right" vertical="center" indent="1" readingOrder="2"/>
    </xf>
    <xf numFmtId="0" fontId="0" fillId="9" borderId="0" xfId="0" applyFill="1"/>
    <xf numFmtId="0" fontId="25" fillId="0" borderId="0" xfId="0" applyFont="1" applyAlignment="1">
      <alignment horizontal="right" vertical="center" readingOrder="2"/>
    </xf>
    <xf numFmtId="0" fontId="4" fillId="3" borderId="0" xfId="0" applyFont="1" applyFill="1" applyAlignment="1">
      <alignment horizontal="right" vertical="center" indent="1" readingOrder="2"/>
    </xf>
    <xf numFmtId="0" fontId="0" fillId="3" borderId="0" xfId="0" applyFill="1"/>
    <xf numFmtId="0" fontId="10" fillId="0" borderId="0" xfId="0" applyFont="1" applyAlignment="1">
      <alignment horizontal="right" vertical="center" wrapText="1" readingOrder="2"/>
    </xf>
    <xf numFmtId="0" fontId="7" fillId="4" borderId="2" xfId="0" applyFont="1" applyFill="1" applyBorder="1" applyAlignment="1" applyProtection="1">
      <alignment horizontal="right" vertical="center" indent="1" readingOrder="2"/>
      <protection locked="0"/>
    </xf>
    <xf numFmtId="0" fontId="0" fillId="4" borderId="2" xfId="0" applyFill="1" applyBorder="1" applyProtection="1">
      <protection locked="0"/>
    </xf>
    <xf numFmtId="0" fontId="8" fillId="0" borderId="0" xfId="0" applyFont="1" applyAlignment="1">
      <alignment horizontal="right" vertical="center" wrapText="1" indent="1" readingOrder="2"/>
    </xf>
    <xf numFmtId="0" fontId="4" fillId="3" borderId="3" xfId="0" applyFont="1" applyFill="1" applyBorder="1" applyAlignment="1">
      <alignment horizontal="center" vertical="center" wrapText="1" readingOrder="2"/>
    </xf>
    <xf numFmtId="0" fontId="0" fillId="0" borderId="4" xfId="0" applyBorder="1"/>
    <xf numFmtId="0" fontId="0" fillId="0" borderId="5" xfId="0" applyBorder="1"/>
    <xf numFmtId="0" fontId="6" fillId="4" borderId="2" xfId="0" applyFont="1" applyFill="1" applyBorder="1" applyAlignment="1" applyProtection="1">
      <alignment horizontal="right" vertical="center" indent="1" readingOrder="2"/>
      <protection locked="0"/>
    </xf>
    <xf numFmtId="0" fontId="3" fillId="2" borderId="0" xfId="0" applyFont="1" applyFill="1" applyAlignment="1">
      <alignment horizontal="right" vertical="center" indent="1" readingOrder="2"/>
    </xf>
    <xf numFmtId="0" fontId="5" fillId="0" borderId="0" xfId="0" applyFont="1" applyAlignment="1">
      <alignment horizontal="right" vertical="center" indent="1" readingOrder="2"/>
    </xf>
    <xf numFmtId="164" fontId="20" fillId="6" borderId="3" xfId="0" applyNumberFormat="1" applyFont="1" applyFill="1" applyBorder="1" applyAlignment="1">
      <alignment horizontal="right" vertical="center" indent="1" readingOrder="2"/>
    </xf>
    <xf numFmtId="0" fontId="0" fillId="6" borderId="3" xfId="0" applyFill="1" applyBorder="1"/>
    <xf numFmtId="169" fontId="21" fillId="6" borderId="3" xfId="0" applyNumberFormat="1" applyFont="1" applyFill="1" applyBorder="1" applyAlignment="1">
      <alignment horizontal="right" vertical="center" indent="1" readingOrder="2"/>
    </xf>
    <xf numFmtId="0" fontId="5" fillId="0" borderId="11" xfId="0" applyFont="1" applyBorder="1" applyAlignment="1">
      <alignment horizontal="right" vertical="center" indent="1" readingOrder="2"/>
    </xf>
    <xf numFmtId="0" fontId="11" fillId="6" borderId="11" xfId="0" applyFont="1" applyFill="1" applyBorder="1" applyAlignment="1">
      <alignment horizontal="right" vertical="center" indent="1" readingOrder="2"/>
    </xf>
    <xf numFmtId="0" fontId="0" fillId="6" borderId="11" xfId="0" applyFill="1" applyBorder="1"/>
    <xf numFmtId="0" fontId="9" fillId="6" borderId="3" xfId="0" applyFont="1" applyFill="1" applyBorder="1" applyAlignment="1">
      <alignment horizontal="right" vertical="center" indent="1" readingOrder="2"/>
    </xf>
    <xf numFmtId="0" fontId="19" fillId="6" borderId="3" xfId="0" applyFont="1" applyFill="1" applyBorder="1" applyAlignment="1">
      <alignment horizontal="right" vertical="center" indent="1" readingOrder="2"/>
    </xf>
    <xf numFmtId="170" fontId="21" fillId="6" borderId="3" xfId="0" applyNumberFormat="1" applyFont="1" applyFill="1" applyBorder="1" applyAlignment="1">
      <alignment horizontal="right" vertical="center" indent="1" readingOrder="2"/>
    </xf>
    <xf numFmtId="164" fontId="21" fillId="6" borderId="3" xfId="0" applyNumberFormat="1" applyFont="1" applyFill="1" applyBorder="1" applyAlignment="1">
      <alignment horizontal="right" vertical="center" indent="1" readingOrder="2"/>
    </xf>
  </cellXfs>
  <cellStyles count="1">
    <cellStyle name="Normal" xfId="0" builtinId="0"/>
  </cellStyles>
  <dxfs count="17">
    <dxf>
      <border>
        <left style="thin">
          <color rgb="FF0F294D"/>
        </left>
        <right style="thin">
          <color rgb="FF0F294D"/>
        </right>
        <top style="thin">
          <color rgb="FF0F294D"/>
        </top>
        <bottom style="thin">
          <color rgb="FF0F294D"/>
        </bottom>
      </border>
    </dxf>
    <dxf>
      <font>
        <color rgb="FF05555E"/>
      </font>
      <fill>
        <patternFill patternType="solid">
          <fgColor rgb="FFD7EBED"/>
          <bgColor rgb="FFD7EBED"/>
        </patternFill>
      </fill>
    </dxf>
    <dxf>
      <font>
        <b/>
        <color rgb="FF8F1515"/>
      </font>
      <fill>
        <patternFill patternType="solid">
          <fgColor rgb="FFF5D7D7"/>
          <bgColor rgb="FFF5D7D7"/>
        </patternFill>
      </fill>
    </dxf>
    <dxf>
      <font>
        <b/>
        <color rgb="FFC52020"/>
      </font>
    </dxf>
    <dxf>
      <font>
        <b/>
        <color rgb="FFC52020"/>
      </font>
    </dxf>
    <dxf>
      <font>
        <b/>
        <color rgb="FF05555E"/>
      </font>
      <fill>
        <patternFill patternType="solid">
          <fgColor rgb="FFD7EBED"/>
          <bgColor rgb="FFD7EBED"/>
        </patternFill>
      </fill>
    </dxf>
    <dxf>
      <font>
        <b/>
        <color rgb="FFFFFFFF"/>
      </font>
      <fill>
        <patternFill patternType="solid">
          <fgColor rgb="FFC52020"/>
          <bgColor rgb="FFC52020"/>
        </patternFill>
      </fill>
    </dxf>
    <dxf>
      <font>
        <color rgb="FF8F1515"/>
      </font>
    </dxf>
    <dxf>
      <font>
        <color rgb="FF8F1515"/>
      </font>
    </dxf>
    <dxf>
      <font>
        <color rgb="FF8F1515"/>
      </font>
    </dxf>
    <dxf>
      <font>
        <b/>
        <color rgb="FF8F1515"/>
      </font>
    </dxf>
    <dxf>
      <font>
        <b/>
        <color rgb="FF8F1515"/>
      </font>
    </dxf>
    <dxf>
      <font>
        <b/>
        <color rgb="FF6A727C"/>
      </font>
      <fill>
        <patternFill patternType="solid">
          <fgColor rgb="FFEFF1F6"/>
          <bgColor rgb="FFEFF1F6"/>
        </patternFill>
      </fill>
    </dxf>
    <dxf>
      <font>
        <b/>
        <color rgb="FF6A727C"/>
      </font>
      <fill>
        <patternFill patternType="solid">
          <fgColor rgb="FFEFF1F6"/>
          <bgColor rgb="FFEFF1F6"/>
        </patternFill>
      </fill>
    </dxf>
    <dxf>
      <font>
        <b/>
        <color rgb="FF7A4E00"/>
      </font>
      <fill>
        <patternFill patternType="solid">
          <fgColor rgb="FFF7E4C2"/>
          <bgColor rgb="FFF7E4C2"/>
        </patternFill>
      </fill>
    </dxf>
    <dxf>
      <font>
        <b/>
        <color rgb="FFFFFFFF"/>
      </font>
      <fill>
        <patternFill patternType="solid">
          <fgColor rgb="FFC52020"/>
          <bgColor rgb="FFC52020"/>
        </patternFill>
      </fill>
    </dxf>
    <dxf>
      <font>
        <b/>
        <color rgb="FF05555E"/>
      </font>
      <fill>
        <patternFill patternType="solid">
          <fgColor rgb="FFD7EBED"/>
          <bgColor rgb="FFD7EBED"/>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الملخص!$K$6</c:f>
              <c:strCache>
                <c:ptCount val="1"/>
                <c:pt idx="0">
                  <c:v>المبيعات</c:v>
                </c:pt>
              </c:strCache>
            </c:strRef>
          </c:tx>
          <c:spPr>
            <a:solidFill>
              <a:srgbClr val="4071BA"/>
            </a:solidFill>
            <a:ln>
              <a:solidFill>
                <a:srgbClr val="4071BA"/>
              </a:solidFill>
              <a:prstDash val="solid"/>
            </a:ln>
          </c:spPr>
          <c:invertIfNegative val="0"/>
          <c:cat>
            <c:strRef>
              <c:f>الملخص!$L$5:$O$5</c:f>
              <c:strCache>
                <c:ptCount val="4"/>
                <c:pt idx="0">
                  <c:v>قبل الافتتاح</c:v>
                </c:pt>
                <c:pt idx="1">
                  <c:v>السنة 1</c:v>
                </c:pt>
                <c:pt idx="2">
                  <c:v>السنة 2</c:v>
                </c:pt>
                <c:pt idx="3">
                  <c:v>السنة 3</c:v>
                </c:pt>
              </c:strCache>
            </c:strRef>
          </c:cat>
          <c:val>
            <c:numRef>
              <c:f>الملخص!$L$6:$O$6</c:f>
              <c:numCache>
                <c:formatCode>#,##0</c:formatCode>
                <c:ptCount val="4"/>
                <c:pt idx="0">
                  <c:v>0</c:v>
                </c:pt>
                <c:pt idx="1">
                  <c:v>1729000</c:v>
                </c:pt>
                <c:pt idx="2">
                  <c:v>2062368.9999999995</c:v>
                </c:pt>
                <c:pt idx="3">
                  <c:v>2354805.4670000002</c:v>
                </c:pt>
              </c:numCache>
            </c:numRef>
          </c:val>
          <c:extLst>
            <c:ext xmlns:c16="http://schemas.microsoft.com/office/drawing/2014/chart" uri="{C3380CC4-5D6E-409C-BE32-E72D297353CC}">
              <c16:uniqueId val="{00000000-E588-4434-AA9B-464CEFDF4969}"/>
            </c:ext>
          </c:extLst>
        </c:ser>
        <c:ser>
          <c:idx val="1"/>
          <c:order val="1"/>
          <c:tx>
            <c:strRef>
              <c:f>الملخص!$K$7</c:f>
              <c:strCache>
                <c:ptCount val="1"/>
                <c:pt idx="0">
                  <c:v>إجمالي التكاليف</c:v>
                </c:pt>
              </c:strCache>
            </c:strRef>
          </c:tx>
          <c:spPr>
            <a:solidFill>
              <a:srgbClr val="B7C0CC"/>
            </a:solidFill>
            <a:ln>
              <a:solidFill>
                <a:srgbClr val="B7C0CC"/>
              </a:solidFill>
              <a:prstDash val="solid"/>
            </a:ln>
          </c:spPr>
          <c:invertIfNegative val="0"/>
          <c:cat>
            <c:strRef>
              <c:f>الملخص!$L$5:$O$5</c:f>
              <c:strCache>
                <c:ptCount val="4"/>
                <c:pt idx="0">
                  <c:v>قبل الافتتاح</c:v>
                </c:pt>
                <c:pt idx="1">
                  <c:v>السنة 1</c:v>
                </c:pt>
                <c:pt idx="2">
                  <c:v>السنة 2</c:v>
                </c:pt>
                <c:pt idx="3">
                  <c:v>السنة 3</c:v>
                </c:pt>
              </c:strCache>
            </c:strRef>
          </c:cat>
          <c:val>
            <c:numRef>
              <c:f>الملخص!$L$7:$O$7</c:f>
              <c:numCache>
                <c:formatCode>#,##0</c:formatCode>
                <c:ptCount val="4"/>
                <c:pt idx="0">
                  <c:v>65000</c:v>
                </c:pt>
                <c:pt idx="1">
                  <c:v>1696535.3333333333</c:v>
                </c:pt>
                <c:pt idx="2">
                  <c:v>1862800.4242419964</c:v>
                </c:pt>
                <c:pt idx="3">
                  <c:v>1994138.7238033528</c:v>
                </c:pt>
              </c:numCache>
            </c:numRef>
          </c:val>
          <c:extLst>
            <c:ext xmlns:c16="http://schemas.microsoft.com/office/drawing/2014/chart" uri="{C3380CC4-5D6E-409C-BE32-E72D297353CC}">
              <c16:uniqueId val="{00000001-E588-4434-AA9B-464CEFDF4969}"/>
            </c:ext>
          </c:extLst>
        </c:ser>
        <c:ser>
          <c:idx val="2"/>
          <c:order val="2"/>
          <c:tx>
            <c:strRef>
              <c:f>الملخص!$K$8</c:f>
              <c:strCache>
                <c:ptCount val="1"/>
                <c:pt idx="0">
                  <c:v>صافي الربح</c:v>
                </c:pt>
              </c:strCache>
            </c:strRef>
          </c:tx>
          <c:spPr>
            <a:solidFill>
              <a:srgbClr val="087F8C"/>
            </a:solidFill>
            <a:ln>
              <a:solidFill>
                <a:srgbClr val="087F8C"/>
              </a:solidFill>
              <a:prstDash val="solid"/>
            </a:ln>
          </c:spPr>
          <c:invertIfNegative val="0"/>
          <c:cat>
            <c:strRef>
              <c:f>الملخص!$L$5:$O$5</c:f>
              <c:strCache>
                <c:ptCount val="4"/>
                <c:pt idx="0">
                  <c:v>قبل الافتتاح</c:v>
                </c:pt>
                <c:pt idx="1">
                  <c:v>السنة 1</c:v>
                </c:pt>
                <c:pt idx="2">
                  <c:v>السنة 2</c:v>
                </c:pt>
                <c:pt idx="3">
                  <c:v>السنة 3</c:v>
                </c:pt>
              </c:strCache>
            </c:strRef>
          </c:cat>
          <c:val>
            <c:numRef>
              <c:f>الملخص!$L$8:$O$8</c:f>
              <c:numCache>
                <c:formatCode>#,##0</c:formatCode>
                <c:ptCount val="4"/>
                <c:pt idx="0">
                  <c:v>-65000</c:v>
                </c:pt>
                <c:pt idx="1">
                  <c:v>32464.666666666672</c:v>
                </c:pt>
                <c:pt idx="2">
                  <c:v>199568.57575800322</c:v>
                </c:pt>
                <c:pt idx="3">
                  <c:v>360666.74319664738</c:v>
                </c:pt>
              </c:numCache>
            </c:numRef>
          </c:val>
          <c:extLst>
            <c:ext xmlns:c16="http://schemas.microsoft.com/office/drawing/2014/chart" uri="{C3380CC4-5D6E-409C-BE32-E72D297353CC}">
              <c16:uniqueId val="{00000002-E588-4434-AA9B-464CEFDF4969}"/>
            </c:ext>
          </c:extLst>
        </c:ser>
        <c:dLbls>
          <c:showLegendKey val="0"/>
          <c:showVal val="0"/>
          <c:showCatName val="0"/>
          <c:showSerName val="0"/>
          <c:showPercent val="0"/>
          <c:showBubbleSize val="0"/>
        </c:dLbls>
        <c:gapWidth val="60"/>
        <c:overlap val="-10"/>
        <c:axId val="10"/>
        <c:axId val="100"/>
      </c:barChart>
      <c:catAx>
        <c:axId val="10"/>
        <c:scaling>
          <c:orientation val="minMax"/>
        </c:scaling>
        <c:delete val="0"/>
        <c:axPos val="b"/>
        <c:numFmt formatCode="General" sourceLinked="1"/>
        <c:majorTickMark val="none"/>
        <c:minorTickMark val="none"/>
        <c:tickLblPos val="nextTo"/>
        <c:spPr>
          <a:ln>
            <a:solidFill>
              <a:srgbClr val="E0E4EB"/>
            </a:solidFill>
            <a:prstDash val="solid"/>
          </a:ln>
        </c:spPr>
        <c:txPr>
          <a:bodyPr/>
          <a:lstStyle/>
          <a:p>
            <a:pPr>
              <a:defRPr sz="900" b="0">
                <a:solidFill>
                  <a:srgbClr val="6A727C"/>
                </a:solidFill>
                <a:latin typeface="Arial"/>
                <a:cs typeface="Aria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E9ECF1"/>
              </a:solidFill>
              <a:prstDash val="solid"/>
            </a:ln>
          </c:spPr>
        </c:majorGridlines>
        <c:numFmt formatCode="#,##0" sourceLinked="0"/>
        <c:majorTickMark val="none"/>
        <c:minorTickMark val="none"/>
        <c:tickLblPos val="nextTo"/>
        <c:spPr>
          <a:ln>
            <a:solidFill>
              <a:srgbClr val="E0E4EB"/>
            </a:solidFill>
            <a:prstDash val="solid"/>
          </a:ln>
        </c:spPr>
        <c:txPr>
          <a:bodyPr/>
          <a:lstStyle/>
          <a:p>
            <a:pPr>
              <a:defRPr sz="900" b="0">
                <a:solidFill>
                  <a:srgbClr val="6A727C"/>
                </a:solidFill>
                <a:latin typeface="Arial"/>
                <a:cs typeface="Arial"/>
              </a:defRPr>
            </a:pPr>
            <a:endParaRPr lang="en-US"/>
          </a:p>
        </c:txPr>
        <c:crossAx val="10"/>
        <c:crosses val="autoZero"/>
        <c:crossBetween val="between"/>
      </c:valAx>
    </c:plotArea>
    <c:legend>
      <c:legendPos val="b"/>
      <c:overlay val="1"/>
      <c:txPr>
        <a:bodyPr/>
        <a:lstStyle/>
        <a:p>
          <a:pPr>
            <a:defRPr sz="900" b="0">
              <a:solidFill>
                <a:srgbClr val="6A727C"/>
              </a:solidFill>
              <a:latin typeface="Arial"/>
              <a:cs typeface="Arial"/>
            </a:defRPr>
          </a:pPr>
          <a:endParaRPr lang="en-US"/>
        </a:p>
      </c:txPr>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الملخص!$K$9</c:f>
              <c:strCache>
                <c:ptCount val="1"/>
                <c:pt idx="0">
                  <c:v>النقد في النهاية</c:v>
                </c:pt>
              </c:strCache>
            </c:strRef>
          </c:tx>
          <c:spPr>
            <a:solidFill>
              <a:srgbClr val="1F4E84"/>
            </a:solidFill>
            <a:ln>
              <a:solidFill>
                <a:srgbClr val="1F4E84"/>
              </a:solidFill>
              <a:prstDash val="solid"/>
            </a:ln>
          </c:spPr>
          <c:invertIfNegative val="0"/>
          <c:cat>
            <c:strRef>
              <c:f>الملخص!$L$5:$O$5</c:f>
              <c:strCache>
                <c:ptCount val="4"/>
                <c:pt idx="0">
                  <c:v>قبل الافتتاح</c:v>
                </c:pt>
                <c:pt idx="1">
                  <c:v>السنة 1</c:v>
                </c:pt>
                <c:pt idx="2">
                  <c:v>السنة 2</c:v>
                </c:pt>
                <c:pt idx="3">
                  <c:v>السنة 3</c:v>
                </c:pt>
              </c:strCache>
            </c:strRef>
          </c:cat>
          <c:val>
            <c:numRef>
              <c:f>الملخص!$L$9:$O$9</c:f>
              <c:numCache>
                <c:formatCode>#,##0</c:formatCode>
                <c:ptCount val="4"/>
                <c:pt idx="0">
                  <c:v>92000</c:v>
                </c:pt>
                <c:pt idx="1">
                  <c:v>178246.900056921</c:v>
                </c:pt>
                <c:pt idx="2">
                  <c:v>421780.81436041713</c:v>
                </c:pt>
                <c:pt idx="3">
                  <c:v>822580.20687980414</c:v>
                </c:pt>
              </c:numCache>
            </c:numRef>
          </c:val>
          <c:extLst>
            <c:ext xmlns:c16="http://schemas.microsoft.com/office/drawing/2014/chart" uri="{C3380CC4-5D6E-409C-BE32-E72D297353CC}">
              <c16:uniqueId val="{00000000-CF3F-4A03-9ACF-7836B12F0530}"/>
            </c:ext>
          </c:extLst>
        </c:ser>
        <c:dLbls>
          <c:showLegendKey val="0"/>
          <c:showVal val="0"/>
          <c:showCatName val="0"/>
          <c:showSerName val="0"/>
          <c:showPercent val="0"/>
          <c:showBubbleSize val="0"/>
        </c:dLbls>
        <c:gapWidth val="60"/>
        <c:axId val="10"/>
        <c:axId val="100"/>
      </c:barChart>
      <c:catAx>
        <c:axId val="10"/>
        <c:scaling>
          <c:orientation val="minMax"/>
        </c:scaling>
        <c:delete val="0"/>
        <c:axPos val="b"/>
        <c:numFmt formatCode="General" sourceLinked="1"/>
        <c:majorTickMark val="none"/>
        <c:minorTickMark val="none"/>
        <c:tickLblPos val="nextTo"/>
        <c:spPr>
          <a:ln>
            <a:solidFill>
              <a:srgbClr val="E0E4EB"/>
            </a:solidFill>
            <a:prstDash val="solid"/>
          </a:ln>
        </c:spPr>
        <c:txPr>
          <a:bodyPr/>
          <a:lstStyle/>
          <a:p>
            <a:pPr>
              <a:defRPr sz="900" b="0">
                <a:solidFill>
                  <a:srgbClr val="6A727C"/>
                </a:solidFill>
                <a:latin typeface="Arial"/>
                <a:cs typeface="Aria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E9ECF1"/>
              </a:solidFill>
              <a:prstDash val="solid"/>
            </a:ln>
          </c:spPr>
        </c:majorGridlines>
        <c:numFmt formatCode="#,##0" sourceLinked="0"/>
        <c:majorTickMark val="none"/>
        <c:minorTickMark val="none"/>
        <c:tickLblPos val="nextTo"/>
        <c:spPr>
          <a:ln>
            <a:solidFill>
              <a:srgbClr val="E0E4EB"/>
            </a:solidFill>
            <a:prstDash val="solid"/>
          </a:ln>
        </c:spPr>
        <c:txPr>
          <a:bodyPr/>
          <a:lstStyle/>
          <a:p>
            <a:pPr>
              <a:defRPr sz="900" b="0">
                <a:solidFill>
                  <a:srgbClr val="6A727C"/>
                </a:solidFill>
                <a:latin typeface="Arial"/>
                <a:cs typeface="Arial"/>
              </a:defRPr>
            </a:pPr>
            <a:endParaRPr lang="en-US"/>
          </a:p>
        </c:txPr>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1"/>
        <c:ser>
          <c:idx val="0"/>
          <c:order val="0"/>
          <c:tx>
            <c:strRef>
              <c:f>'نقطة التعادل'!$C$16</c:f>
              <c:strCache>
                <c:ptCount val="1"/>
                <c:pt idx="0">
                  <c:v>المبيعات</c:v>
                </c:pt>
              </c:strCache>
            </c:strRef>
          </c:tx>
          <c:spPr>
            <a:ln w="28575">
              <a:solidFill>
                <a:srgbClr val="4071BA"/>
              </a:solidFill>
              <a:prstDash val="solid"/>
            </a:ln>
          </c:spPr>
          <c:marker>
            <c:symbol val="none"/>
          </c:marker>
          <c:xVal>
            <c:numRef>
              <c:f>'نقطة التعادل'!$C$17:$C$27</c:f>
              <c:numCache>
                <c:formatCode>#,##0;\(#,##0\);"–"</c:formatCode>
                <c:ptCount val="11"/>
                <c:pt idx="0">
                  <c:v>0</c:v>
                </c:pt>
                <c:pt idx="1">
                  <c:v>345800</c:v>
                </c:pt>
                <c:pt idx="2">
                  <c:v>691600</c:v>
                </c:pt>
                <c:pt idx="3">
                  <c:v>1037400.0000000001</c:v>
                </c:pt>
                <c:pt idx="4">
                  <c:v>1383200</c:v>
                </c:pt>
                <c:pt idx="5">
                  <c:v>1729000</c:v>
                </c:pt>
                <c:pt idx="6">
                  <c:v>2074800</c:v>
                </c:pt>
                <c:pt idx="7">
                  <c:v>2420600</c:v>
                </c:pt>
                <c:pt idx="8">
                  <c:v>2766400</c:v>
                </c:pt>
                <c:pt idx="9">
                  <c:v>3112200</c:v>
                </c:pt>
                <c:pt idx="10">
                  <c:v>3458000</c:v>
                </c:pt>
              </c:numCache>
            </c:numRef>
          </c:xVal>
          <c:yVal>
            <c:numRef>
              <c:f>'نقطة التعادل'!$C$17:$C$27</c:f>
              <c:numCache>
                <c:formatCode>#,##0;\(#,##0\);"–"</c:formatCode>
                <c:ptCount val="11"/>
                <c:pt idx="0">
                  <c:v>0</c:v>
                </c:pt>
                <c:pt idx="1">
                  <c:v>345800</c:v>
                </c:pt>
                <c:pt idx="2">
                  <c:v>691600</c:v>
                </c:pt>
                <c:pt idx="3">
                  <c:v>1037400.0000000001</c:v>
                </c:pt>
                <c:pt idx="4">
                  <c:v>1383200</c:v>
                </c:pt>
                <c:pt idx="5">
                  <c:v>1729000</c:v>
                </c:pt>
                <c:pt idx="6">
                  <c:v>2074800</c:v>
                </c:pt>
                <c:pt idx="7">
                  <c:v>2420600</c:v>
                </c:pt>
                <c:pt idx="8">
                  <c:v>2766400</c:v>
                </c:pt>
                <c:pt idx="9">
                  <c:v>3112200</c:v>
                </c:pt>
                <c:pt idx="10">
                  <c:v>3458000</c:v>
                </c:pt>
              </c:numCache>
            </c:numRef>
          </c:yVal>
          <c:smooth val="0"/>
          <c:extLst>
            <c:ext xmlns:c16="http://schemas.microsoft.com/office/drawing/2014/chart" uri="{C3380CC4-5D6E-409C-BE32-E72D297353CC}">
              <c16:uniqueId val="{00000000-7416-4BCC-BE9E-627F4B722C13}"/>
            </c:ext>
          </c:extLst>
        </c:ser>
        <c:ser>
          <c:idx val="1"/>
          <c:order val="1"/>
          <c:tx>
            <c:strRef>
              <c:f>'نقطة التعادل'!$D$16</c:f>
              <c:strCache>
                <c:ptCount val="1"/>
                <c:pt idx="0">
                  <c:v>إجمالي التكاليف</c:v>
                </c:pt>
              </c:strCache>
            </c:strRef>
          </c:tx>
          <c:spPr>
            <a:ln w="28575">
              <a:solidFill>
                <a:srgbClr val="C52020"/>
              </a:solidFill>
              <a:prstDash val="solid"/>
            </a:ln>
          </c:spPr>
          <c:marker>
            <c:symbol val="none"/>
          </c:marker>
          <c:xVal>
            <c:numRef>
              <c:f>'نقطة التعادل'!$C$17:$C$27</c:f>
              <c:numCache>
                <c:formatCode>#,##0;\(#,##0\);"–"</c:formatCode>
                <c:ptCount val="11"/>
                <c:pt idx="0">
                  <c:v>0</c:v>
                </c:pt>
                <c:pt idx="1">
                  <c:v>345800</c:v>
                </c:pt>
                <c:pt idx="2">
                  <c:v>691600</c:v>
                </c:pt>
                <c:pt idx="3">
                  <c:v>1037400.0000000001</c:v>
                </c:pt>
                <c:pt idx="4">
                  <c:v>1383200</c:v>
                </c:pt>
                <c:pt idx="5">
                  <c:v>1729000</c:v>
                </c:pt>
                <c:pt idx="6">
                  <c:v>2074800</c:v>
                </c:pt>
                <c:pt idx="7">
                  <c:v>2420600</c:v>
                </c:pt>
                <c:pt idx="8">
                  <c:v>2766400</c:v>
                </c:pt>
                <c:pt idx="9">
                  <c:v>3112200</c:v>
                </c:pt>
                <c:pt idx="10">
                  <c:v>3458000</c:v>
                </c:pt>
              </c:numCache>
            </c:numRef>
          </c:xVal>
          <c:yVal>
            <c:numRef>
              <c:f>'نقطة التعادل'!$D$17:$D$27</c:f>
              <c:numCache>
                <c:formatCode>#,##0;\(#,##0\);"–"</c:formatCode>
                <c:ptCount val="11"/>
                <c:pt idx="0">
                  <c:v>1085375.3333333333</c:v>
                </c:pt>
                <c:pt idx="1">
                  <c:v>1207607.3333333333</c:v>
                </c:pt>
                <c:pt idx="2">
                  <c:v>1329839.3333333333</c:v>
                </c:pt>
                <c:pt idx="3">
                  <c:v>1452071.3333333333</c:v>
                </c:pt>
                <c:pt idx="4">
                  <c:v>1574303.3333333333</c:v>
                </c:pt>
                <c:pt idx="5">
                  <c:v>1696535.3333333333</c:v>
                </c:pt>
                <c:pt idx="6">
                  <c:v>1818767.3333333333</c:v>
                </c:pt>
                <c:pt idx="7">
                  <c:v>1940999.3333333333</c:v>
                </c:pt>
                <c:pt idx="8">
                  <c:v>2063231.3333333333</c:v>
                </c:pt>
                <c:pt idx="9">
                  <c:v>2185463.333333333</c:v>
                </c:pt>
                <c:pt idx="10">
                  <c:v>2307695.333333333</c:v>
                </c:pt>
              </c:numCache>
            </c:numRef>
          </c:yVal>
          <c:smooth val="0"/>
          <c:extLst>
            <c:ext xmlns:c16="http://schemas.microsoft.com/office/drawing/2014/chart" uri="{C3380CC4-5D6E-409C-BE32-E72D297353CC}">
              <c16:uniqueId val="{00000001-7416-4BCC-BE9E-627F4B722C13}"/>
            </c:ext>
          </c:extLst>
        </c:ser>
        <c:ser>
          <c:idx val="2"/>
          <c:order val="2"/>
          <c:tx>
            <c:strRef>
              <c:f>'نقطة التعادل'!$E$16</c:f>
              <c:strCache>
                <c:ptCount val="1"/>
                <c:pt idx="0">
                  <c:v>التكاليف الثابتة</c:v>
                </c:pt>
              </c:strCache>
            </c:strRef>
          </c:tx>
          <c:spPr>
            <a:ln w="28575">
              <a:solidFill>
                <a:srgbClr val="6A727C"/>
              </a:solidFill>
              <a:prstDash val="dash"/>
            </a:ln>
          </c:spPr>
          <c:marker>
            <c:symbol val="none"/>
          </c:marker>
          <c:xVal>
            <c:numRef>
              <c:f>'نقطة التعادل'!$C$17:$C$27</c:f>
              <c:numCache>
                <c:formatCode>#,##0;\(#,##0\);"–"</c:formatCode>
                <c:ptCount val="11"/>
                <c:pt idx="0">
                  <c:v>0</c:v>
                </c:pt>
                <c:pt idx="1">
                  <c:v>345800</c:v>
                </c:pt>
                <c:pt idx="2">
                  <c:v>691600</c:v>
                </c:pt>
                <c:pt idx="3">
                  <c:v>1037400.0000000001</c:v>
                </c:pt>
                <c:pt idx="4">
                  <c:v>1383200</c:v>
                </c:pt>
                <c:pt idx="5">
                  <c:v>1729000</c:v>
                </c:pt>
                <c:pt idx="6">
                  <c:v>2074800</c:v>
                </c:pt>
                <c:pt idx="7">
                  <c:v>2420600</c:v>
                </c:pt>
                <c:pt idx="8">
                  <c:v>2766400</c:v>
                </c:pt>
                <c:pt idx="9">
                  <c:v>3112200</c:v>
                </c:pt>
                <c:pt idx="10">
                  <c:v>3458000</c:v>
                </c:pt>
              </c:numCache>
            </c:numRef>
          </c:xVal>
          <c:yVal>
            <c:numRef>
              <c:f>'نقطة التعادل'!$E$17:$E$27</c:f>
              <c:numCache>
                <c:formatCode>#,##0;\(#,##0\);"–"</c:formatCode>
                <c:ptCount val="11"/>
                <c:pt idx="0">
                  <c:v>1085375.3333333333</c:v>
                </c:pt>
                <c:pt idx="1">
                  <c:v>1085375.3333333333</c:v>
                </c:pt>
                <c:pt idx="2">
                  <c:v>1085375.3333333333</c:v>
                </c:pt>
                <c:pt idx="3">
                  <c:v>1085375.3333333333</c:v>
                </c:pt>
                <c:pt idx="4">
                  <c:v>1085375.3333333333</c:v>
                </c:pt>
                <c:pt idx="5">
                  <c:v>1085375.3333333333</c:v>
                </c:pt>
                <c:pt idx="6">
                  <c:v>1085375.3333333333</c:v>
                </c:pt>
                <c:pt idx="7">
                  <c:v>1085375.3333333333</c:v>
                </c:pt>
                <c:pt idx="8">
                  <c:v>1085375.3333333333</c:v>
                </c:pt>
                <c:pt idx="9">
                  <c:v>1085375.3333333333</c:v>
                </c:pt>
                <c:pt idx="10">
                  <c:v>1085375.3333333333</c:v>
                </c:pt>
              </c:numCache>
            </c:numRef>
          </c:yVal>
          <c:smooth val="0"/>
          <c:extLst>
            <c:ext xmlns:c16="http://schemas.microsoft.com/office/drawing/2014/chart" uri="{C3380CC4-5D6E-409C-BE32-E72D297353CC}">
              <c16:uniqueId val="{00000002-7416-4BCC-BE9E-627F4B722C13}"/>
            </c:ext>
          </c:extLst>
        </c:ser>
        <c:dLbls>
          <c:showLegendKey val="0"/>
          <c:showVal val="0"/>
          <c:showCatName val="0"/>
          <c:showSerName val="0"/>
          <c:showPercent val="0"/>
          <c:showBubbleSize val="0"/>
        </c:dLbls>
        <c:axId val="10"/>
        <c:axId val="20"/>
      </c:scatterChart>
      <c:valAx>
        <c:axId val="10"/>
        <c:scaling>
          <c:orientation val="minMax"/>
        </c:scaling>
        <c:delete val="0"/>
        <c:axPos val="b"/>
        <c:numFmt formatCode="#,##0" sourceLinked="0"/>
        <c:majorTickMark val="none"/>
        <c:minorTickMark val="none"/>
        <c:tickLblPos val="nextTo"/>
        <c:spPr>
          <a:ln>
            <a:solidFill>
              <a:srgbClr val="E0E4EB"/>
            </a:solidFill>
            <a:prstDash val="solid"/>
          </a:ln>
        </c:spPr>
        <c:txPr>
          <a:bodyPr/>
          <a:lstStyle/>
          <a:p>
            <a:pPr>
              <a:defRPr sz="900" b="0">
                <a:solidFill>
                  <a:srgbClr val="6A727C"/>
                </a:solidFill>
                <a:latin typeface="Arial"/>
                <a:cs typeface="Arial"/>
              </a:defRPr>
            </a:pPr>
            <a:endParaRPr lang="en-US"/>
          </a:p>
        </c:txPr>
        <c:crossAx val="20"/>
        <c:crosses val="autoZero"/>
        <c:crossBetween val="midCat"/>
      </c:valAx>
      <c:valAx>
        <c:axId val="20"/>
        <c:scaling>
          <c:orientation val="minMax"/>
        </c:scaling>
        <c:delete val="0"/>
        <c:axPos val="l"/>
        <c:majorGridlines>
          <c:spPr>
            <a:ln>
              <a:solidFill>
                <a:srgbClr val="E9ECF1"/>
              </a:solidFill>
              <a:prstDash val="solid"/>
            </a:ln>
          </c:spPr>
        </c:majorGridlines>
        <c:numFmt formatCode="#,##0" sourceLinked="0"/>
        <c:majorTickMark val="none"/>
        <c:minorTickMark val="none"/>
        <c:tickLblPos val="nextTo"/>
        <c:spPr>
          <a:ln>
            <a:solidFill>
              <a:srgbClr val="E0E4EB"/>
            </a:solidFill>
            <a:prstDash val="solid"/>
          </a:ln>
        </c:spPr>
        <c:txPr>
          <a:bodyPr/>
          <a:lstStyle/>
          <a:p>
            <a:pPr>
              <a:defRPr sz="900" b="0">
                <a:solidFill>
                  <a:srgbClr val="6A727C"/>
                </a:solidFill>
                <a:latin typeface="Arial"/>
                <a:cs typeface="Arial"/>
              </a:defRPr>
            </a:pPr>
            <a:endParaRPr lang="en-US"/>
          </a:p>
        </c:txPr>
        <c:crossAx val="10"/>
        <c:crosses val="autoZero"/>
        <c:crossBetween val="midCat"/>
      </c:valAx>
    </c:plotArea>
    <c:legend>
      <c:legendPos val="t"/>
      <c:overlay val="1"/>
      <c:txPr>
        <a:bodyPr/>
        <a:lstStyle/>
        <a:p>
          <a:pPr>
            <a:defRPr sz="900" b="0">
              <a:solidFill>
                <a:srgbClr val="6A727C"/>
              </a:solidFill>
              <a:latin typeface="Arial"/>
              <a:cs typeface="Arial"/>
            </a:defRPr>
          </a:pPr>
          <a:endParaRPr lang="en-US"/>
        </a:p>
      </c:txPr>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419100" cy="4762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31</xdr:row>
      <xdr:rowOff>0</xdr:rowOff>
    </xdr:from>
    <xdr:ext cx="3708000" cy="2951999"/>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5</xdr:col>
      <xdr:colOff>0</xdr:colOff>
      <xdr:row>31</xdr:row>
      <xdr:rowOff>0</xdr:rowOff>
    </xdr:from>
    <xdr:ext cx="3708000" cy="2951999"/>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6</xdr:col>
      <xdr:colOff>0</xdr:colOff>
      <xdr:row>3</xdr:row>
      <xdr:rowOff>0</xdr:rowOff>
    </xdr:from>
    <xdr:ext cx="6120000" cy="342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training.shogconsulting.com/courses/feasibility-study-foundations?utm_source=excel-template&amp;utm_medium=download&amp;utm_campaign=feasibility-model-ar"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F294D"/>
    <pageSetUpPr fitToPage="1"/>
  </sheetPr>
  <dimension ref="B1:F32"/>
  <sheetViews>
    <sheetView showGridLines="0" rightToLeft="1" tabSelected="1" workbookViewId="0"/>
  </sheetViews>
  <sheetFormatPr defaultRowHeight="14.4" x14ac:dyDescent="0.3"/>
  <cols>
    <col min="1" max="1" width="3" customWidth="1"/>
    <col min="2" max="2" width="8" customWidth="1"/>
    <col min="3" max="3" width="24" customWidth="1"/>
    <col min="4" max="5" width="34" customWidth="1"/>
    <col min="6" max="6" width="22" customWidth="1"/>
  </cols>
  <sheetData>
    <row r="1" spans="2:6" ht="10.050000000000001" customHeight="1" x14ac:dyDescent="0.3"/>
    <row r="2" spans="2:6" ht="42" customHeight="1" x14ac:dyDescent="0.3">
      <c r="C2" s="1" t="s">
        <v>0</v>
      </c>
    </row>
    <row r="3" spans="2:6" ht="6" customHeight="1" x14ac:dyDescent="0.3"/>
    <row r="4" spans="2:6" ht="34.049999999999997" customHeight="1" x14ac:dyDescent="0.3">
      <c r="B4" s="77" t="s">
        <v>1</v>
      </c>
      <c r="C4" s="68"/>
      <c r="D4" s="68"/>
      <c r="E4" s="68"/>
      <c r="F4" s="68"/>
    </row>
    <row r="5" spans="2:6" ht="37.950000000000003" customHeight="1" x14ac:dyDescent="0.3">
      <c r="B5" s="69" t="s">
        <v>2</v>
      </c>
      <c r="C5" s="68"/>
      <c r="D5" s="68"/>
      <c r="E5" s="68"/>
      <c r="F5" s="68"/>
    </row>
    <row r="6" spans="2:6" ht="18" customHeight="1" x14ac:dyDescent="0.3">
      <c r="B6" s="67" t="str">
        <f>"المشروع: "&amp;ProjectName&amp;"      السنة الأولى: "&amp;FirstYear</f>
        <v>المشروع: مقهى الحي      السنة الأولى: 2027</v>
      </c>
      <c r="C6" s="68"/>
      <c r="D6" s="68"/>
      <c r="E6" s="68"/>
      <c r="F6" s="68"/>
    </row>
    <row r="7" spans="2:6" ht="10.050000000000001" customHeight="1" x14ac:dyDescent="0.3"/>
    <row r="8" spans="2:6" ht="22.05" customHeight="1" x14ac:dyDescent="0.3">
      <c r="B8" s="78" t="s">
        <v>3</v>
      </c>
      <c r="C8" s="79"/>
      <c r="D8" s="79"/>
      <c r="E8" s="79"/>
      <c r="F8" s="79"/>
    </row>
    <row r="9" spans="2:6" ht="22.05" customHeight="1" x14ac:dyDescent="0.3">
      <c r="B9" s="2">
        <v>1</v>
      </c>
      <c r="C9" s="3" t="s">
        <v>4</v>
      </c>
      <c r="D9" s="73" t="s">
        <v>5</v>
      </c>
      <c r="E9" s="74"/>
      <c r="F9" s="74"/>
    </row>
    <row r="10" spans="2:6" ht="36" customHeight="1" x14ac:dyDescent="0.3">
      <c r="B10" s="2">
        <v>2</v>
      </c>
      <c r="C10" s="3" t="s">
        <v>6</v>
      </c>
      <c r="D10" s="73" t="s">
        <v>7</v>
      </c>
      <c r="E10" s="74"/>
      <c r="F10" s="74"/>
    </row>
    <row r="11" spans="2:6" ht="22.05" customHeight="1" x14ac:dyDescent="0.3">
      <c r="B11" s="2">
        <v>3</v>
      </c>
      <c r="C11" s="3" t="s">
        <v>8</v>
      </c>
      <c r="D11" s="73" t="s">
        <v>9</v>
      </c>
      <c r="E11" s="74"/>
      <c r="F11" s="74"/>
    </row>
    <row r="12" spans="2:6" ht="22.05" customHeight="1" x14ac:dyDescent="0.3">
      <c r="B12" s="2">
        <v>4</v>
      </c>
      <c r="C12" s="3" t="s">
        <v>10</v>
      </c>
      <c r="D12" s="73" t="s">
        <v>11</v>
      </c>
      <c r="E12" s="74"/>
      <c r="F12" s="74"/>
    </row>
    <row r="13" spans="2:6" ht="22.05" customHeight="1" x14ac:dyDescent="0.3">
      <c r="B13" s="2">
        <v>5</v>
      </c>
      <c r="C13" s="3" t="s">
        <v>12</v>
      </c>
      <c r="D13" s="73" t="s">
        <v>13</v>
      </c>
      <c r="E13" s="74"/>
      <c r="F13" s="74"/>
    </row>
    <row r="14" spans="2:6" ht="22.05" customHeight="1" x14ac:dyDescent="0.3">
      <c r="B14" s="2">
        <v>6</v>
      </c>
      <c r="C14" s="3" t="s">
        <v>14</v>
      </c>
      <c r="D14" s="73" t="s">
        <v>15</v>
      </c>
      <c r="E14" s="74"/>
      <c r="F14" s="74"/>
    </row>
    <row r="15" spans="2:6" ht="12" customHeight="1" x14ac:dyDescent="0.3"/>
    <row r="16" spans="2:6" ht="22.05" customHeight="1" x14ac:dyDescent="0.3">
      <c r="B16" s="78" t="s">
        <v>16</v>
      </c>
      <c r="C16" s="79"/>
      <c r="D16" s="79"/>
      <c r="E16" s="79"/>
      <c r="F16" s="79"/>
    </row>
    <row r="17" spans="2:6" ht="19.95" customHeight="1" x14ac:dyDescent="0.3">
      <c r="C17" s="4" t="s">
        <v>17</v>
      </c>
      <c r="D17" s="5" t="s">
        <v>18</v>
      </c>
    </row>
    <row r="18" spans="2:6" ht="19.95" customHeight="1" x14ac:dyDescent="0.3">
      <c r="C18" s="6" t="s">
        <v>17</v>
      </c>
      <c r="D18" s="5" t="s">
        <v>19</v>
      </c>
    </row>
    <row r="19" spans="2:6" ht="19.95" customHeight="1" x14ac:dyDescent="0.3">
      <c r="C19" s="7" t="s">
        <v>17</v>
      </c>
      <c r="D19" s="5" t="s">
        <v>20</v>
      </c>
    </row>
    <row r="20" spans="2:6" ht="19.95" customHeight="1" x14ac:dyDescent="0.3">
      <c r="C20" s="8" t="s">
        <v>21</v>
      </c>
      <c r="D20" s="5" t="s">
        <v>22</v>
      </c>
    </row>
    <row r="21" spans="2:6" ht="12" customHeight="1" x14ac:dyDescent="0.3"/>
    <row r="22" spans="2:6" ht="22.05" customHeight="1" x14ac:dyDescent="0.3">
      <c r="B22" s="78" t="s">
        <v>23</v>
      </c>
      <c r="C22" s="79"/>
      <c r="D22" s="79"/>
      <c r="E22" s="79"/>
      <c r="F22" s="79"/>
    </row>
    <row r="23" spans="2:6" ht="22.05" customHeight="1" x14ac:dyDescent="0.3">
      <c r="B23" s="9" t="s">
        <v>24</v>
      </c>
      <c r="C23" s="71" t="s">
        <v>25</v>
      </c>
      <c r="D23" s="68"/>
      <c r="E23" s="68"/>
      <c r="F23" s="68"/>
    </row>
    <row r="24" spans="2:6" ht="22.05" customHeight="1" x14ac:dyDescent="0.3">
      <c r="B24" s="9" t="s">
        <v>24</v>
      </c>
      <c r="C24" s="71" t="s">
        <v>26</v>
      </c>
      <c r="D24" s="68"/>
      <c r="E24" s="68"/>
      <c r="F24" s="68"/>
    </row>
    <row r="25" spans="2:6" ht="22.05" customHeight="1" x14ac:dyDescent="0.3">
      <c r="B25" s="9" t="s">
        <v>24</v>
      </c>
      <c r="C25" s="71" t="s">
        <v>27</v>
      </c>
      <c r="D25" s="68"/>
      <c r="E25" s="68"/>
      <c r="F25" s="68"/>
    </row>
    <row r="26" spans="2:6" ht="36" customHeight="1" x14ac:dyDescent="0.3">
      <c r="B26" s="9" t="s">
        <v>24</v>
      </c>
      <c r="C26" s="71" t="s">
        <v>28</v>
      </c>
      <c r="D26" s="68"/>
      <c r="E26" s="68"/>
      <c r="F26" s="68"/>
    </row>
    <row r="27" spans="2:6" ht="12" customHeight="1" x14ac:dyDescent="0.3"/>
    <row r="28" spans="2:6" ht="22.05" customHeight="1" x14ac:dyDescent="0.3">
      <c r="B28" s="75" t="s">
        <v>29</v>
      </c>
      <c r="C28" s="76"/>
      <c r="D28" s="76"/>
      <c r="E28" s="76"/>
      <c r="F28" s="76"/>
    </row>
    <row r="29" spans="2:6" ht="49.95" customHeight="1" x14ac:dyDescent="0.3">
      <c r="B29" s="72" t="s">
        <v>30</v>
      </c>
      <c r="C29" s="66"/>
      <c r="D29" s="66"/>
      <c r="E29" s="66"/>
      <c r="F29" s="66"/>
    </row>
    <row r="30" spans="2:6" ht="24" customHeight="1" x14ac:dyDescent="0.3">
      <c r="B30" s="65" t="s">
        <v>31</v>
      </c>
      <c r="C30" s="66"/>
      <c r="D30" s="66"/>
      <c r="E30" s="66"/>
      <c r="F30" s="66"/>
    </row>
    <row r="31" spans="2:6" ht="12" customHeight="1" x14ac:dyDescent="0.3"/>
    <row r="32" spans="2:6" ht="19.95" customHeight="1" x14ac:dyDescent="0.3">
      <c r="B32" s="70" t="s">
        <v>32</v>
      </c>
      <c r="C32" s="68"/>
      <c r="D32" s="68"/>
      <c r="E32" s="68"/>
      <c r="F32" s="68"/>
    </row>
  </sheetData>
  <mergeCells count="20">
    <mergeCell ref="B4:F4"/>
    <mergeCell ref="D11:F11"/>
    <mergeCell ref="D13:F13"/>
    <mergeCell ref="C23:F23"/>
    <mergeCell ref="B16:F16"/>
    <mergeCell ref="B22:F22"/>
    <mergeCell ref="D12:F12"/>
    <mergeCell ref="D9:F9"/>
    <mergeCell ref="B8:F8"/>
    <mergeCell ref="D10:F10"/>
    <mergeCell ref="B30:F30"/>
    <mergeCell ref="B6:F6"/>
    <mergeCell ref="B5:F5"/>
    <mergeCell ref="B32:F32"/>
    <mergeCell ref="C24:F24"/>
    <mergeCell ref="B29:F29"/>
    <mergeCell ref="D14:F14"/>
    <mergeCell ref="C26:F26"/>
    <mergeCell ref="B28:F28"/>
    <mergeCell ref="C25:F25"/>
  </mergeCells>
  <hyperlinks>
    <hyperlink ref="C9" location="'المدخلات'!A1" tooltip="انتقل إلى المدخلات" display="المدخلات" xr:uid="{00000000-0004-0000-0000-000000000000}"/>
    <hyperlink ref="C10" location="'الملخص'!A1" tooltip="انتقل إلى الملخص" display="الملخص" xr:uid="{00000000-0004-0000-0000-000001000000}"/>
    <hyperlink ref="C11" location="'قائمة الدخل'!A1" tooltip="انتقل إلى قائمة الدخل" display="قائمة الدخل" xr:uid="{00000000-0004-0000-0000-000002000000}"/>
    <hyperlink ref="C12" location="'التدفق النقدي'!A1" tooltip="انتقل إلى التدفق النقدي" display="التدفق النقدي" xr:uid="{00000000-0004-0000-0000-000003000000}"/>
    <hyperlink ref="C13" location="'نقطة التعادل'!A1" tooltip="انتقل إلى نقطة التعادل" display="نقطة التعادل" xr:uid="{00000000-0004-0000-0000-000004000000}"/>
    <hyperlink ref="C14" location="'تحليل الحساسية'!A1" tooltip="انتقل إلى تحليل الحساسية" display="تحليل الحساسية" xr:uid="{00000000-0004-0000-0000-000005000000}"/>
    <hyperlink ref="B30" r:id="rId1" xr:uid="{00000000-0004-0000-0000-000006000000}"/>
  </hyperlinks>
  <printOptions horizontalCentered="1"/>
  <pageMargins left="0.4" right="0.4" top="0.5" bottom="0.5" header="0.25" footer="0.25"/>
  <pageSetup paperSize="9" orientation="portrait"/>
  <headerFooter>
    <oddFooter>&amp;L&amp;7 &amp;K6A727Cصفحة &amp;P من &amp;N&amp;R&amp;7 &amp;K6A727Cنموذج: شوق للتدريب المؤسسي · training.shogconsulting.com</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49E25"/>
    <pageSetUpPr fitToPage="1"/>
  </sheetPr>
  <dimension ref="A1:I85"/>
  <sheetViews>
    <sheetView showGridLines="0" rightToLeft="1" workbookViewId="0">
      <pane xSplit="2" ySplit="4" topLeftCell="C5" activePane="bottomRight" state="frozen"/>
      <selection pane="topRight"/>
      <selection pane="bottomLeft"/>
      <selection pane="bottomRight"/>
    </sheetView>
  </sheetViews>
  <sheetFormatPr defaultRowHeight="14.4" x14ac:dyDescent="0.3"/>
  <cols>
    <col min="1" max="1" width="2" customWidth="1"/>
    <col min="2" max="2" width="48" customWidth="1"/>
    <col min="3" max="8" width="16" customWidth="1"/>
    <col min="9" max="9" width="40" customWidth="1"/>
  </cols>
  <sheetData>
    <row r="1" spans="1:9" ht="30" customHeight="1" x14ac:dyDescent="0.3">
      <c r="A1" s="10" t="s">
        <v>4</v>
      </c>
    </row>
    <row r="2" spans="1:9" ht="19.95" customHeight="1" x14ac:dyDescent="0.3">
      <c r="A2" s="11" t="s">
        <v>33</v>
      </c>
      <c r="B2" s="12"/>
      <c r="C2" s="12"/>
      <c r="D2" s="12"/>
      <c r="E2" s="12"/>
      <c r="F2" s="12"/>
      <c r="G2" s="12"/>
      <c r="H2" s="12"/>
      <c r="I2" s="12"/>
    </row>
    <row r="3" spans="1:9" ht="18" customHeight="1" x14ac:dyDescent="0.3">
      <c r="A3" s="88" t="s">
        <v>34</v>
      </c>
      <c r="B3" s="68"/>
      <c r="C3" s="68"/>
      <c r="D3" s="68"/>
      <c r="E3" s="68"/>
      <c r="F3" s="68"/>
      <c r="G3" s="68"/>
      <c r="H3" s="68"/>
      <c r="I3" s="68"/>
    </row>
    <row r="5" spans="1:9" ht="22.05" customHeight="1" x14ac:dyDescent="0.3">
      <c r="B5" s="78" t="s">
        <v>35</v>
      </c>
      <c r="C5" s="79"/>
      <c r="D5" s="79"/>
      <c r="E5" s="79"/>
      <c r="F5" s="79"/>
      <c r="G5" s="79"/>
      <c r="H5" s="79"/>
      <c r="I5" s="79"/>
    </row>
    <row r="6" spans="1:9" ht="18" customHeight="1" x14ac:dyDescent="0.3">
      <c r="B6" s="13" t="s">
        <v>36</v>
      </c>
      <c r="C6" s="87" t="s">
        <v>37</v>
      </c>
      <c r="D6" s="82"/>
      <c r="E6" s="82"/>
      <c r="F6" s="82"/>
    </row>
    <row r="7" spans="1:9" ht="18" customHeight="1" x14ac:dyDescent="0.3">
      <c r="B7" s="13" t="s">
        <v>38</v>
      </c>
      <c r="C7" s="87" t="s">
        <v>39</v>
      </c>
      <c r="D7" s="82"/>
      <c r="E7" s="82"/>
      <c r="F7" s="82"/>
    </row>
    <row r="8" spans="1:9" ht="18" customHeight="1" x14ac:dyDescent="0.3">
      <c r="B8" s="13" t="s">
        <v>40</v>
      </c>
      <c r="C8" s="14" t="s">
        <v>41</v>
      </c>
    </row>
    <row r="9" spans="1:9" ht="18" customHeight="1" x14ac:dyDescent="0.3">
      <c r="B9" s="13" t="s">
        <v>42</v>
      </c>
      <c r="C9" s="15">
        <v>2027</v>
      </c>
    </row>
    <row r="11" spans="1:9" ht="22.05" customHeight="1" x14ac:dyDescent="0.3">
      <c r="B11" s="78" t="s">
        <v>43</v>
      </c>
      <c r="C11" s="79"/>
      <c r="D11" s="79"/>
      <c r="E11" s="79"/>
      <c r="F11" s="79"/>
      <c r="G11" s="79"/>
      <c r="H11" s="79"/>
      <c r="I11" s="79"/>
    </row>
    <row r="12" spans="1:9" ht="31.95" customHeight="1" x14ac:dyDescent="0.3">
      <c r="B12" s="16" t="s">
        <v>44</v>
      </c>
      <c r="C12" s="16" t="s">
        <v>45</v>
      </c>
      <c r="D12" s="16" t="s">
        <v>46</v>
      </c>
      <c r="E12" s="16" t="s">
        <v>47</v>
      </c>
      <c r="F12" s="16" t="s">
        <v>48</v>
      </c>
      <c r="G12" s="16" t="s">
        <v>49</v>
      </c>
      <c r="H12" s="16" t="s">
        <v>50</v>
      </c>
      <c r="I12" s="16" t="s">
        <v>51</v>
      </c>
    </row>
    <row r="13" spans="1:9" ht="18" customHeight="1" x14ac:dyDescent="0.3">
      <c r="B13" s="14" t="s">
        <v>52</v>
      </c>
      <c r="C13" s="14" t="s">
        <v>53</v>
      </c>
      <c r="D13" s="17">
        <v>18</v>
      </c>
      <c r="E13" s="18">
        <v>54000</v>
      </c>
      <c r="F13" s="19">
        <v>0.15</v>
      </c>
      <c r="G13" s="19">
        <v>0.1</v>
      </c>
      <c r="H13" s="17">
        <v>4.5</v>
      </c>
      <c r="I13" s="20" t="s">
        <v>54</v>
      </c>
    </row>
    <row r="14" spans="1:9" ht="18" customHeight="1" x14ac:dyDescent="0.3">
      <c r="B14" s="14" t="s">
        <v>55</v>
      </c>
      <c r="C14" s="14" t="s">
        <v>56</v>
      </c>
      <c r="D14" s="17">
        <v>22</v>
      </c>
      <c r="E14" s="18">
        <v>25000</v>
      </c>
      <c r="F14" s="19">
        <v>0.15</v>
      </c>
      <c r="G14" s="19">
        <v>0.1</v>
      </c>
      <c r="H14" s="17">
        <v>8</v>
      </c>
      <c r="I14" s="20" t="s">
        <v>57</v>
      </c>
    </row>
    <row r="15" spans="1:9" ht="18" customHeight="1" x14ac:dyDescent="0.3">
      <c r="B15" s="14" t="s">
        <v>58</v>
      </c>
      <c r="C15" s="14" t="s">
        <v>59</v>
      </c>
      <c r="D15" s="17">
        <v>75</v>
      </c>
      <c r="E15" s="18">
        <v>1800</v>
      </c>
      <c r="F15" s="19">
        <v>0.2</v>
      </c>
      <c r="G15" s="19">
        <v>0.15</v>
      </c>
      <c r="H15" s="17">
        <v>35</v>
      </c>
      <c r="I15" s="20" t="s">
        <v>60</v>
      </c>
    </row>
    <row r="16" spans="1:9" ht="18" customHeight="1" x14ac:dyDescent="0.3">
      <c r="B16" s="14" t="s">
        <v>61</v>
      </c>
      <c r="C16" s="14" t="s">
        <v>62</v>
      </c>
      <c r="D16" s="17">
        <v>1200</v>
      </c>
      <c r="E16" s="18">
        <v>60</v>
      </c>
      <c r="F16" s="19">
        <v>0.25</v>
      </c>
      <c r="G16" s="19">
        <v>0.2</v>
      </c>
      <c r="H16" s="17">
        <v>600</v>
      </c>
      <c r="I16" s="20" t="s">
        <v>63</v>
      </c>
    </row>
    <row r="17" spans="2:9" ht="18" customHeight="1" x14ac:dyDescent="0.3">
      <c r="B17" s="14"/>
      <c r="C17" s="14"/>
      <c r="D17" s="17"/>
      <c r="E17" s="18"/>
      <c r="F17" s="19"/>
      <c r="G17" s="19"/>
      <c r="H17" s="17"/>
      <c r="I17" s="20"/>
    </row>
    <row r="19" spans="2:9" x14ac:dyDescent="0.3">
      <c r="B19" s="13" t="s">
        <v>64</v>
      </c>
      <c r="C19" s="19">
        <v>0.03</v>
      </c>
    </row>
    <row r="20" spans="2:9" x14ac:dyDescent="0.3">
      <c r="B20" s="13" t="s">
        <v>65</v>
      </c>
      <c r="C20" s="19">
        <v>0.03</v>
      </c>
    </row>
    <row r="21" spans="2:9" x14ac:dyDescent="0.3">
      <c r="B21" s="13" t="s">
        <v>66</v>
      </c>
      <c r="C21" s="19">
        <v>0.04</v>
      </c>
      <c r="D21" s="83" t="s">
        <v>67</v>
      </c>
      <c r="E21" s="68"/>
      <c r="F21" s="68"/>
      <c r="G21" s="68"/>
      <c r="H21" s="68"/>
      <c r="I21" s="68"/>
    </row>
    <row r="23" spans="2:9" ht="22.05" customHeight="1" x14ac:dyDescent="0.3">
      <c r="B23" s="78" t="s">
        <v>68</v>
      </c>
      <c r="C23" s="79"/>
      <c r="D23" s="79"/>
      <c r="E23" s="79"/>
      <c r="F23" s="79"/>
      <c r="G23" s="79"/>
      <c r="H23" s="79"/>
      <c r="I23" s="79"/>
    </row>
    <row r="24" spans="2:9" ht="31.95" customHeight="1" x14ac:dyDescent="0.3">
      <c r="B24" s="16" t="s">
        <v>69</v>
      </c>
      <c r="C24" s="16" t="s">
        <v>70</v>
      </c>
      <c r="D24" s="16" t="s">
        <v>71</v>
      </c>
      <c r="E24" s="16" t="s">
        <v>72</v>
      </c>
      <c r="F24" s="16" t="s">
        <v>73</v>
      </c>
      <c r="G24" s="84" t="s">
        <v>51</v>
      </c>
      <c r="H24" s="85"/>
      <c r="I24" s="86"/>
    </row>
    <row r="25" spans="2:9" ht="18" customHeight="1" x14ac:dyDescent="0.3">
      <c r="B25" s="14" t="s">
        <v>74</v>
      </c>
      <c r="C25" s="18">
        <v>12000</v>
      </c>
      <c r="D25" s="18">
        <v>1</v>
      </c>
      <c r="E25" s="18">
        <v>1</v>
      </c>
      <c r="F25" s="18">
        <v>1</v>
      </c>
      <c r="G25" s="81" t="s">
        <v>75</v>
      </c>
      <c r="H25" s="82"/>
      <c r="I25" s="82"/>
    </row>
    <row r="26" spans="2:9" ht="18" customHeight="1" x14ac:dyDescent="0.3">
      <c r="B26" s="14" t="s">
        <v>76</v>
      </c>
      <c r="C26" s="18">
        <v>4500</v>
      </c>
      <c r="D26" s="18">
        <v>3</v>
      </c>
      <c r="E26" s="18">
        <v>4</v>
      </c>
      <c r="F26" s="18">
        <v>4</v>
      </c>
      <c r="G26" s="81" t="s">
        <v>77</v>
      </c>
      <c r="H26" s="82"/>
      <c r="I26" s="82"/>
    </row>
    <row r="27" spans="2:9" ht="18" customHeight="1" x14ac:dyDescent="0.3">
      <c r="B27" s="14" t="s">
        <v>78</v>
      </c>
      <c r="C27" s="18">
        <v>3800</v>
      </c>
      <c r="D27" s="18">
        <v>2</v>
      </c>
      <c r="E27" s="18">
        <v>2</v>
      </c>
      <c r="F27" s="18">
        <v>2</v>
      </c>
      <c r="G27" s="81"/>
      <c r="H27" s="82"/>
      <c r="I27" s="82"/>
    </row>
    <row r="28" spans="2:9" ht="18" customHeight="1" x14ac:dyDescent="0.3">
      <c r="B28" s="14" t="s">
        <v>79</v>
      </c>
      <c r="C28" s="18">
        <v>3500</v>
      </c>
      <c r="D28" s="18">
        <v>2</v>
      </c>
      <c r="E28" s="18">
        <v>2</v>
      </c>
      <c r="F28" s="18">
        <v>2</v>
      </c>
      <c r="G28" s="81"/>
      <c r="H28" s="82"/>
      <c r="I28" s="82"/>
    </row>
    <row r="29" spans="2:9" ht="18" customHeight="1" x14ac:dyDescent="0.3">
      <c r="B29" s="14"/>
      <c r="C29" s="18"/>
      <c r="D29" s="18"/>
      <c r="E29" s="18"/>
      <c r="F29" s="18"/>
      <c r="G29" s="81"/>
      <c r="H29" s="82"/>
      <c r="I29" s="82"/>
    </row>
    <row r="30" spans="2:9" ht="18" customHeight="1" x14ac:dyDescent="0.3">
      <c r="B30" s="14"/>
      <c r="C30" s="18"/>
      <c r="D30" s="18"/>
      <c r="E30" s="18"/>
      <c r="F30" s="18"/>
      <c r="G30" s="81"/>
      <c r="H30" s="82"/>
      <c r="I30" s="82"/>
    </row>
    <row r="31" spans="2:9" ht="18" customHeight="1" x14ac:dyDescent="0.3">
      <c r="B31" s="14"/>
      <c r="C31" s="18"/>
      <c r="D31" s="18"/>
      <c r="E31" s="18"/>
      <c r="F31" s="18"/>
      <c r="G31" s="81"/>
      <c r="H31" s="82"/>
      <c r="I31" s="82"/>
    </row>
    <row r="32" spans="2:9" ht="18" customHeight="1" x14ac:dyDescent="0.3">
      <c r="B32" s="14"/>
      <c r="C32" s="18"/>
      <c r="D32" s="18"/>
      <c r="E32" s="18"/>
      <c r="F32" s="18"/>
      <c r="G32" s="81"/>
      <c r="H32" s="82"/>
      <c r="I32" s="82"/>
    </row>
    <row r="34" spans="2:9" x14ac:dyDescent="0.3">
      <c r="B34" s="13" t="s">
        <v>80</v>
      </c>
      <c r="C34" s="19">
        <v>0.03</v>
      </c>
    </row>
    <row r="35" spans="2:9" x14ac:dyDescent="0.3">
      <c r="B35" s="13" t="s">
        <v>81</v>
      </c>
      <c r="C35" s="19">
        <v>0.6</v>
      </c>
      <c r="D35" s="83" t="s">
        <v>82</v>
      </c>
      <c r="E35" s="68"/>
      <c r="F35" s="68"/>
      <c r="G35" s="68"/>
      <c r="H35" s="68"/>
      <c r="I35" s="68"/>
    </row>
    <row r="36" spans="2:9" x14ac:dyDescent="0.3">
      <c r="B36" s="13" t="s">
        <v>83</v>
      </c>
      <c r="C36" s="21">
        <v>21</v>
      </c>
      <c r="D36" s="83" t="s">
        <v>84</v>
      </c>
      <c r="E36" s="68"/>
      <c r="F36" s="68"/>
      <c r="G36" s="68"/>
      <c r="H36" s="68"/>
      <c r="I36" s="68"/>
    </row>
    <row r="37" spans="2:9" x14ac:dyDescent="0.3">
      <c r="B37" s="13" t="s">
        <v>85</v>
      </c>
      <c r="C37" s="18">
        <v>2500</v>
      </c>
      <c r="D37" s="83" t="s">
        <v>86</v>
      </c>
      <c r="E37" s="68"/>
      <c r="F37" s="68"/>
      <c r="G37" s="68"/>
      <c r="H37" s="68"/>
      <c r="I37" s="68"/>
    </row>
    <row r="38" spans="2:9" x14ac:dyDescent="0.3">
      <c r="B38" s="13" t="s">
        <v>87</v>
      </c>
      <c r="C38" s="18">
        <v>6000</v>
      </c>
      <c r="D38" s="83" t="s">
        <v>88</v>
      </c>
      <c r="E38" s="68"/>
      <c r="F38" s="68"/>
      <c r="G38" s="68"/>
      <c r="H38" s="68"/>
      <c r="I38" s="68"/>
    </row>
    <row r="40" spans="2:9" ht="22.05" customHeight="1" x14ac:dyDescent="0.3">
      <c r="B40" s="78" t="s">
        <v>89</v>
      </c>
      <c r="C40" s="79"/>
      <c r="D40" s="79"/>
      <c r="E40" s="79"/>
      <c r="F40" s="79"/>
      <c r="G40" s="79"/>
      <c r="H40" s="79"/>
      <c r="I40" s="79"/>
    </row>
    <row r="41" spans="2:9" ht="31.95" customHeight="1" x14ac:dyDescent="0.3">
      <c r="B41" s="16" t="s">
        <v>90</v>
      </c>
      <c r="C41" s="16" t="s">
        <v>91</v>
      </c>
      <c r="D41" s="16" t="s">
        <v>92</v>
      </c>
      <c r="E41" s="84" t="s">
        <v>51</v>
      </c>
      <c r="F41" s="85"/>
      <c r="G41" s="85"/>
      <c r="H41" s="85"/>
      <c r="I41" s="86"/>
    </row>
    <row r="42" spans="2:9" ht="18" customHeight="1" x14ac:dyDescent="0.3">
      <c r="B42" s="14" t="s">
        <v>93</v>
      </c>
      <c r="C42" s="18">
        <v>180000</v>
      </c>
      <c r="D42" s="19">
        <v>0.05</v>
      </c>
      <c r="E42" s="81" t="s">
        <v>94</v>
      </c>
      <c r="F42" s="82"/>
      <c r="G42" s="82"/>
      <c r="H42" s="82"/>
      <c r="I42" s="82"/>
    </row>
    <row r="43" spans="2:9" ht="18" customHeight="1" x14ac:dyDescent="0.3">
      <c r="B43" s="14" t="s">
        <v>95</v>
      </c>
      <c r="C43" s="18">
        <v>54000</v>
      </c>
      <c r="D43" s="19">
        <v>0.03</v>
      </c>
      <c r="E43" s="81"/>
      <c r="F43" s="82"/>
      <c r="G43" s="82"/>
      <c r="H43" s="82"/>
      <c r="I43" s="82"/>
    </row>
    <row r="44" spans="2:9" ht="18" customHeight="1" x14ac:dyDescent="0.3">
      <c r="B44" s="14" t="s">
        <v>96</v>
      </c>
      <c r="C44" s="18">
        <v>25000</v>
      </c>
      <c r="D44" s="19">
        <v>0</v>
      </c>
      <c r="E44" s="81" t="s">
        <v>97</v>
      </c>
      <c r="F44" s="82"/>
      <c r="G44" s="82"/>
      <c r="H44" s="82"/>
      <c r="I44" s="82"/>
    </row>
    <row r="45" spans="2:9" ht="18" customHeight="1" x14ac:dyDescent="0.3">
      <c r="B45" s="14" t="s">
        <v>98</v>
      </c>
      <c r="C45" s="18">
        <v>60000</v>
      </c>
      <c r="D45" s="19">
        <v>0.05</v>
      </c>
      <c r="E45" s="81"/>
      <c r="F45" s="82"/>
      <c r="G45" s="82"/>
      <c r="H45" s="82"/>
      <c r="I45" s="82"/>
    </row>
    <row r="46" spans="2:9" ht="18" customHeight="1" x14ac:dyDescent="0.3">
      <c r="B46" s="14" t="s">
        <v>99</v>
      </c>
      <c r="C46" s="18">
        <v>30000</v>
      </c>
      <c r="D46" s="19">
        <v>0.03</v>
      </c>
      <c r="E46" s="81"/>
      <c r="F46" s="82"/>
      <c r="G46" s="82"/>
      <c r="H46" s="82"/>
      <c r="I46" s="82"/>
    </row>
    <row r="47" spans="2:9" ht="18" customHeight="1" x14ac:dyDescent="0.3">
      <c r="B47" s="14" t="s">
        <v>100</v>
      </c>
      <c r="C47" s="18">
        <v>8000</v>
      </c>
      <c r="D47" s="19">
        <v>0.03</v>
      </c>
      <c r="E47" s="81"/>
      <c r="F47" s="82"/>
      <c r="G47" s="82"/>
      <c r="H47" s="82"/>
      <c r="I47" s="82"/>
    </row>
    <row r="48" spans="2:9" ht="18" customHeight="1" x14ac:dyDescent="0.3">
      <c r="B48" s="14" t="s">
        <v>101</v>
      </c>
      <c r="C48" s="18">
        <v>18000</v>
      </c>
      <c r="D48" s="19">
        <v>0.03</v>
      </c>
      <c r="E48" s="81"/>
      <c r="F48" s="82"/>
      <c r="G48" s="82"/>
      <c r="H48" s="82"/>
      <c r="I48" s="82"/>
    </row>
    <row r="49" spans="2:9" ht="18" customHeight="1" x14ac:dyDescent="0.3">
      <c r="B49" s="14" t="s">
        <v>102</v>
      </c>
      <c r="C49" s="18">
        <v>24000</v>
      </c>
      <c r="D49" s="19">
        <v>0.03</v>
      </c>
      <c r="E49" s="81"/>
      <c r="F49" s="82"/>
      <c r="G49" s="82"/>
      <c r="H49" s="82"/>
      <c r="I49" s="82"/>
    </row>
    <row r="50" spans="2:9" ht="18" customHeight="1" x14ac:dyDescent="0.3">
      <c r="B50" s="14" t="s">
        <v>103</v>
      </c>
      <c r="C50" s="18">
        <v>12000</v>
      </c>
      <c r="D50" s="19">
        <v>0.03</v>
      </c>
      <c r="E50" s="81"/>
      <c r="F50" s="82"/>
      <c r="G50" s="82"/>
      <c r="H50" s="82"/>
      <c r="I50" s="82"/>
    </row>
    <row r="51" spans="2:9" ht="18" customHeight="1" x14ac:dyDescent="0.3">
      <c r="B51" s="14"/>
      <c r="C51" s="18"/>
      <c r="D51" s="19"/>
      <c r="E51" s="81"/>
      <c r="F51" s="82"/>
      <c r="G51" s="82"/>
      <c r="H51" s="82"/>
      <c r="I51" s="82"/>
    </row>
    <row r="53" spans="2:9" ht="22.05" customHeight="1" x14ac:dyDescent="0.3">
      <c r="B53" s="78" t="s">
        <v>104</v>
      </c>
      <c r="C53" s="79"/>
      <c r="D53" s="79"/>
      <c r="E53" s="79"/>
      <c r="F53" s="79"/>
      <c r="G53" s="79"/>
      <c r="H53" s="79"/>
      <c r="I53" s="79"/>
    </row>
    <row r="54" spans="2:9" ht="31.95" customHeight="1" x14ac:dyDescent="0.3">
      <c r="B54" s="16" t="s">
        <v>90</v>
      </c>
      <c r="C54" s="16" t="s">
        <v>105</v>
      </c>
      <c r="D54" s="16" t="s">
        <v>106</v>
      </c>
      <c r="E54" s="16" t="s">
        <v>107</v>
      </c>
      <c r="F54" s="84" t="s">
        <v>51</v>
      </c>
      <c r="G54" s="85"/>
      <c r="H54" s="85"/>
      <c r="I54" s="86"/>
    </row>
    <row r="55" spans="2:9" ht="18" customHeight="1" x14ac:dyDescent="0.3">
      <c r="B55" s="14" t="s">
        <v>108</v>
      </c>
      <c r="C55" s="18">
        <v>250000</v>
      </c>
      <c r="D55" s="14" t="s">
        <v>109</v>
      </c>
      <c r="E55" s="21">
        <v>5</v>
      </c>
      <c r="F55" s="81" t="s">
        <v>110</v>
      </c>
      <c r="G55" s="82"/>
      <c r="H55" s="82"/>
      <c r="I55" s="82"/>
    </row>
    <row r="56" spans="2:9" ht="18" customHeight="1" x14ac:dyDescent="0.3">
      <c r="B56" s="14" t="s">
        <v>111</v>
      </c>
      <c r="C56" s="18">
        <v>150000</v>
      </c>
      <c r="D56" s="14" t="s">
        <v>109</v>
      </c>
      <c r="E56" s="21">
        <v>5</v>
      </c>
      <c r="F56" s="81"/>
      <c r="G56" s="82"/>
      <c r="H56" s="82"/>
      <c r="I56" s="82"/>
    </row>
    <row r="57" spans="2:9" ht="18" customHeight="1" x14ac:dyDescent="0.3">
      <c r="B57" s="14" t="s">
        <v>112</v>
      </c>
      <c r="C57" s="18">
        <v>25000</v>
      </c>
      <c r="D57" s="14" t="s">
        <v>109</v>
      </c>
      <c r="E57" s="21">
        <v>3</v>
      </c>
      <c r="F57" s="81"/>
      <c r="G57" s="82"/>
      <c r="H57" s="82"/>
      <c r="I57" s="82"/>
    </row>
    <row r="58" spans="2:9" ht="18" customHeight="1" x14ac:dyDescent="0.3">
      <c r="B58" s="14" t="s">
        <v>113</v>
      </c>
      <c r="C58" s="18">
        <v>18000</v>
      </c>
      <c r="D58" s="14" t="s">
        <v>114</v>
      </c>
      <c r="E58" s="21"/>
      <c r="F58" s="81" t="s">
        <v>115</v>
      </c>
      <c r="G58" s="82"/>
      <c r="H58" s="82"/>
      <c r="I58" s="82"/>
    </row>
    <row r="59" spans="2:9" ht="18" customHeight="1" x14ac:dyDescent="0.3">
      <c r="B59" s="14" t="s">
        <v>116</v>
      </c>
      <c r="C59" s="18">
        <v>35000</v>
      </c>
      <c r="D59" s="14" t="s">
        <v>117</v>
      </c>
      <c r="E59" s="21"/>
      <c r="F59" s="81"/>
      <c r="G59" s="82"/>
      <c r="H59" s="82"/>
      <c r="I59" s="82"/>
    </row>
    <row r="60" spans="2:9" ht="18" customHeight="1" x14ac:dyDescent="0.3">
      <c r="B60" s="14" t="s">
        <v>118</v>
      </c>
      <c r="C60" s="18">
        <v>30000</v>
      </c>
      <c r="D60" s="14" t="s">
        <v>117</v>
      </c>
      <c r="E60" s="21"/>
      <c r="F60" s="81"/>
      <c r="G60" s="82"/>
      <c r="H60" s="82"/>
      <c r="I60" s="82"/>
    </row>
    <row r="61" spans="2:9" ht="18" customHeight="1" x14ac:dyDescent="0.3">
      <c r="B61" s="14"/>
      <c r="C61" s="18"/>
      <c r="D61" s="14"/>
      <c r="E61" s="21"/>
      <c r="F61" s="81"/>
      <c r="G61" s="82"/>
      <c r="H61" s="82"/>
      <c r="I61" s="82"/>
    </row>
    <row r="62" spans="2:9" ht="18" customHeight="1" x14ac:dyDescent="0.3">
      <c r="B62" s="14"/>
      <c r="C62" s="18"/>
      <c r="D62" s="14"/>
      <c r="E62" s="21"/>
      <c r="F62" s="81"/>
      <c r="G62" s="82"/>
      <c r="H62" s="82"/>
      <c r="I62" s="82"/>
    </row>
    <row r="63" spans="2:9" ht="31.95" customHeight="1" x14ac:dyDescent="0.3">
      <c r="B63" s="70" t="s">
        <v>119</v>
      </c>
      <c r="C63" s="68"/>
      <c r="D63" s="68"/>
      <c r="E63" s="68"/>
      <c r="F63" s="68"/>
      <c r="G63" s="68"/>
      <c r="H63" s="68"/>
      <c r="I63" s="68"/>
    </row>
    <row r="65" spans="2:9" ht="22.05" customHeight="1" x14ac:dyDescent="0.3">
      <c r="B65" s="78" t="s">
        <v>120</v>
      </c>
      <c r="C65" s="79"/>
      <c r="D65" s="79"/>
      <c r="E65" s="79"/>
      <c r="F65" s="79"/>
      <c r="G65" s="79"/>
      <c r="H65" s="79"/>
      <c r="I65" s="79"/>
    </row>
    <row r="66" spans="2:9" ht="18" customHeight="1" x14ac:dyDescent="0.3">
      <c r="B66" s="13" t="s">
        <v>121</v>
      </c>
      <c r="C66" s="18">
        <v>350000</v>
      </c>
    </row>
    <row r="67" spans="2:9" ht="18" customHeight="1" x14ac:dyDescent="0.3">
      <c r="B67" s="13" t="s">
        <v>122</v>
      </c>
      <c r="C67" s="18">
        <v>250000</v>
      </c>
      <c r="D67" s="83" t="s">
        <v>123</v>
      </c>
      <c r="E67" s="68"/>
      <c r="F67" s="68"/>
      <c r="G67" s="68"/>
      <c r="H67" s="68"/>
      <c r="I67" s="68"/>
    </row>
    <row r="68" spans="2:9" ht="18" customHeight="1" x14ac:dyDescent="0.3">
      <c r="B68" s="13" t="s">
        <v>124</v>
      </c>
      <c r="C68" s="19">
        <v>0.08</v>
      </c>
    </row>
    <row r="69" spans="2:9" ht="18" customHeight="1" x14ac:dyDescent="0.3">
      <c r="B69" s="13" t="s">
        <v>125</v>
      </c>
      <c r="C69" s="21">
        <v>5</v>
      </c>
    </row>
    <row r="70" spans="2:9" ht="18" customHeight="1" x14ac:dyDescent="0.3"/>
    <row r="71" spans="2:9" ht="18" customHeight="1" x14ac:dyDescent="0.3">
      <c r="B71" s="78" t="s">
        <v>126</v>
      </c>
      <c r="C71" s="79"/>
      <c r="D71" s="79"/>
      <c r="E71" s="79"/>
      <c r="F71" s="79"/>
      <c r="G71" s="79"/>
      <c r="H71" s="79"/>
      <c r="I71" s="79"/>
    </row>
    <row r="72" spans="2:9" ht="18" customHeight="1" x14ac:dyDescent="0.3">
      <c r="B72" s="13" t="s">
        <v>127</v>
      </c>
      <c r="C72" s="21">
        <v>3</v>
      </c>
      <c r="D72" s="83" t="s">
        <v>128</v>
      </c>
      <c r="E72" s="68"/>
      <c r="F72" s="68"/>
      <c r="G72" s="68"/>
      <c r="H72" s="68"/>
      <c r="I72" s="68"/>
    </row>
    <row r="73" spans="2:9" ht="18" customHeight="1" x14ac:dyDescent="0.3">
      <c r="B73" s="13" t="s">
        <v>129</v>
      </c>
      <c r="C73" s="21">
        <v>15</v>
      </c>
    </row>
    <row r="74" spans="2:9" ht="18" customHeight="1" x14ac:dyDescent="0.3">
      <c r="B74" s="13" t="s">
        <v>130</v>
      </c>
      <c r="C74" s="21">
        <v>30</v>
      </c>
    </row>
    <row r="75" spans="2:9" ht="18" customHeight="1" x14ac:dyDescent="0.3">
      <c r="B75" s="13" t="s">
        <v>131</v>
      </c>
      <c r="C75" s="18">
        <v>50000</v>
      </c>
      <c r="D75" s="83" t="s">
        <v>132</v>
      </c>
      <c r="E75" s="68"/>
      <c r="F75" s="68"/>
      <c r="G75" s="68"/>
      <c r="H75" s="68"/>
      <c r="I75" s="68"/>
    </row>
    <row r="76" spans="2:9" ht="18" customHeight="1" x14ac:dyDescent="0.3"/>
    <row r="77" spans="2:9" ht="18" customHeight="1" x14ac:dyDescent="0.3">
      <c r="B77" s="78" t="s">
        <v>133</v>
      </c>
      <c r="C77" s="79"/>
      <c r="D77" s="79"/>
      <c r="E77" s="79"/>
      <c r="F77" s="79"/>
      <c r="G77" s="79"/>
      <c r="H77" s="79"/>
      <c r="I77" s="79"/>
    </row>
    <row r="78" spans="2:9" ht="18" customHeight="1" x14ac:dyDescent="0.3">
      <c r="B78" s="13" t="s">
        <v>134</v>
      </c>
      <c r="C78" s="19">
        <v>0.09</v>
      </c>
      <c r="D78" s="83" t="s">
        <v>135</v>
      </c>
      <c r="E78" s="68"/>
      <c r="F78" s="68"/>
      <c r="G78" s="68"/>
      <c r="H78" s="68"/>
      <c r="I78" s="68"/>
    </row>
    <row r="79" spans="2:9" ht="18" customHeight="1" x14ac:dyDescent="0.3">
      <c r="B79" s="13" t="s">
        <v>136</v>
      </c>
      <c r="C79" s="18">
        <v>375000</v>
      </c>
      <c r="D79" s="83" t="s">
        <v>137</v>
      </c>
      <c r="E79" s="68"/>
      <c r="F79" s="68"/>
      <c r="G79" s="68"/>
      <c r="H79" s="68"/>
      <c r="I79" s="68"/>
    </row>
    <row r="80" spans="2:9" ht="18" customHeight="1" x14ac:dyDescent="0.3">
      <c r="B80" s="13" t="s">
        <v>138</v>
      </c>
      <c r="C80" s="19">
        <v>0.75</v>
      </c>
      <c r="D80" s="83" t="s">
        <v>139</v>
      </c>
      <c r="E80" s="68"/>
      <c r="F80" s="68"/>
      <c r="G80" s="68"/>
      <c r="H80" s="68"/>
      <c r="I80" s="68"/>
    </row>
    <row r="81" spans="2:9" ht="18" customHeight="1" x14ac:dyDescent="0.3">
      <c r="B81" s="13" t="s">
        <v>140</v>
      </c>
      <c r="C81" s="19">
        <v>0.12</v>
      </c>
      <c r="D81" s="83" t="s">
        <v>141</v>
      </c>
      <c r="E81" s="68"/>
      <c r="F81" s="68"/>
      <c r="G81" s="68"/>
      <c r="H81" s="68"/>
      <c r="I81" s="68"/>
    </row>
    <row r="82" spans="2:9" ht="18" customHeight="1" x14ac:dyDescent="0.3">
      <c r="B82" s="13" t="s">
        <v>142</v>
      </c>
      <c r="C82" s="18">
        <v>0</v>
      </c>
      <c r="D82" s="83" t="s">
        <v>143</v>
      </c>
      <c r="E82" s="68"/>
      <c r="F82" s="68"/>
      <c r="G82" s="68"/>
      <c r="H82" s="68"/>
      <c r="I82" s="68"/>
    </row>
    <row r="84" spans="2:9" ht="34.049999999999997" customHeight="1" x14ac:dyDescent="0.3">
      <c r="B84" s="80" t="s">
        <v>144</v>
      </c>
      <c r="C84" s="68"/>
      <c r="D84" s="68"/>
      <c r="E84" s="68"/>
      <c r="F84" s="68"/>
      <c r="G84" s="68"/>
      <c r="H84" s="68"/>
      <c r="I84" s="68"/>
    </row>
    <row r="85" spans="2:9" ht="21" customHeight="1" x14ac:dyDescent="0.3">
      <c r="B85" s="80" t="s">
        <v>145</v>
      </c>
      <c r="C85" s="68"/>
      <c r="D85" s="68"/>
      <c r="E85" s="68"/>
      <c r="F85" s="68"/>
      <c r="G85" s="68"/>
      <c r="H85" s="68"/>
      <c r="I85" s="68"/>
    </row>
  </sheetData>
  <mergeCells count="56">
    <mergeCell ref="C7:F7"/>
    <mergeCell ref="D75:I75"/>
    <mergeCell ref="A3:I3"/>
    <mergeCell ref="G30:I30"/>
    <mergeCell ref="B71:I71"/>
    <mergeCell ref="E48:I48"/>
    <mergeCell ref="D72:I72"/>
    <mergeCell ref="B11:I11"/>
    <mergeCell ref="C6:F6"/>
    <mergeCell ref="B23:I23"/>
    <mergeCell ref="B5:I5"/>
    <mergeCell ref="E43:I43"/>
    <mergeCell ref="E50:I50"/>
    <mergeCell ref="G28:I28"/>
    <mergeCell ref="F56:I56"/>
    <mergeCell ref="F61:I61"/>
    <mergeCell ref="D35:I35"/>
    <mergeCell ref="E45:I45"/>
    <mergeCell ref="D78:I78"/>
    <mergeCell ref="F60:I60"/>
    <mergeCell ref="G24:I24"/>
    <mergeCell ref="E44:I44"/>
    <mergeCell ref="F57:I57"/>
    <mergeCell ref="E51:I51"/>
    <mergeCell ref="B77:I77"/>
    <mergeCell ref="D37:I37"/>
    <mergeCell ref="F54:I54"/>
    <mergeCell ref="G26:I26"/>
    <mergeCell ref="G29:I29"/>
    <mergeCell ref="G25:I25"/>
    <mergeCell ref="G31:I31"/>
    <mergeCell ref="F58:I58"/>
    <mergeCell ref="D38:I38"/>
    <mergeCell ref="D67:I67"/>
    <mergeCell ref="E46:I46"/>
    <mergeCell ref="F55:I55"/>
    <mergeCell ref="D79:I79"/>
    <mergeCell ref="E49:I49"/>
    <mergeCell ref="F59:I59"/>
    <mergeCell ref="E42:I42"/>
    <mergeCell ref="B85:I85"/>
    <mergeCell ref="E47:I47"/>
    <mergeCell ref="D21:I21"/>
    <mergeCell ref="B84:I84"/>
    <mergeCell ref="B65:I65"/>
    <mergeCell ref="B40:I40"/>
    <mergeCell ref="D81:I81"/>
    <mergeCell ref="G27:I27"/>
    <mergeCell ref="D80:I80"/>
    <mergeCell ref="E41:I41"/>
    <mergeCell ref="F62:I62"/>
    <mergeCell ref="D36:I36"/>
    <mergeCell ref="B63:I63"/>
    <mergeCell ref="D82:I82"/>
    <mergeCell ref="G32:I32"/>
    <mergeCell ref="B53:I53"/>
  </mergeCells>
  <dataValidations count="3">
    <dataValidation type="whole" allowBlank="1" showErrorMessage="1" errorTitle="خارج النطاق" error="أدخل سنة، مثل 2027." sqref="C9" xr:uid="{00000000-0002-0000-0100-000000000000}">
      <formula1>2000</formula1>
      <formula2>2100</formula2>
    </dataValidation>
    <dataValidation type="list" allowBlank="1" showInputMessage="1" showErrorMessage="1" errorTitle="ليست في القائمة" error="اختر قيمة من القائمة." prompt="أصل: يوزَّع على عمره الإنتاجي. مصروف: يُحمَّل قبل الافتتاح. وديعة: تُسترد، فلا تُعد تكلفة." sqref="D55:D62" xr:uid="{00000000-0002-0000-0100-000001000000}">
      <formula1>"أصل,مصروف,وديعة"</formula1>
    </dataValidation>
    <dataValidation type="whole" allowBlank="1" showErrorMessage="1" errorTitle="خارج النطاق" error="العمر الإنتاجي بالسنوات الكاملة، بين 1 و50." sqref="E55:E62" xr:uid="{00000000-0002-0000-0100-000002000000}">
      <formula1>1</formula1>
      <formula2>50</formula2>
    </dataValidation>
  </dataValidations>
  <printOptions horizontalCentered="1"/>
  <pageMargins left="0.4" right="0.4" top="0.5" bottom="0.5" header="0.25" footer="0.25"/>
  <pageSetup paperSize="9" fitToHeight="0" orientation="portrait"/>
  <headerFooter>
    <oddFooter>&amp;L&amp;7 &amp;K6A727Cصفحة &amp;P من &amp;N&amp;R&amp;7 &amp;K6A727Cنموذج: شوق للتدريب المؤسسي · training.shogconsulting.com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87F8C"/>
    <pageSetUpPr fitToPage="1"/>
  </sheetPr>
  <dimension ref="A1:O47"/>
  <sheetViews>
    <sheetView showGridLines="0" rightToLeft="1" workbookViewId="0"/>
  </sheetViews>
  <sheetFormatPr defaultRowHeight="14.4" x14ac:dyDescent="0.3"/>
  <cols>
    <col min="1" max="1" width="2" customWidth="1"/>
    <col min="2" max="9" width="13.44140625" customWidth="1"/>
    <col min="10" max="10" width="3" customWidth="1"/>
    <col min="11" max="11" width="16" customWidth="1"/>
    <col min="12" max="15" width="13" customWidth="1"/>
  </cols>
  <sheetData>
    <row r="1" spans="1:15" ht="31.95" customHeight="1" x14ac:dyDescent="0.3">
      <c r="A1" s="10" t="str">
        <f>"ملخص دراسة الجدوى: "&amp;ProjectName</f>
        <v>ملخص دراسة الجدوى: مقهى الحي</v>
      </c>
    </row>
    <row r="2" spans="1:15" ht="19.95" customHeight="1" x14ac:dyDescent="0.3">
      <c r="A2" s="11" t="str">
        <f>Location&amp;"  ·  "&amp;Currency&amp;"، دون ضريبة القيمة المضافة  ·  ثلاث سنوات من "&amp;FirstYear</f>
        <v>دبي، الإمارات  ·  درهم، دون ضريبة القيمة المضافة  ·  ثلاث سنوات من 2027</v>
      </c>
      <c r="B2" s="12"/>
      <c r="C2" s="12"/>
      <c r="D2" s="12"/>
      <c r="E2" s="12"/>
      <c r="F2" s="12"/>
      <c r="G2" s="12"/>
      <c r="H2" s="12"/>
      <c r="I2" s="12"/>
    </row>
    <row r="4" spans="1:15" ht="16.05" customHeight="1" x14ac:dyDescent="0.3">
      <c r="B4" s="97" t="s">
        <v>146</v>
      </c>
      <c r="C4" s="91"/>
      <c r="D4" s="97" t="s">
        <v>147</v>
      </c>
      <c r="E4" s="91"/>
      <c r="F4" s="97" t="s">
        <v>148</v>
      </c>
      <c r="G4" s="91"/>
      <c r="H4" s="97" t="s">
        <v>149</v>
      </c>
      <c r="I4" s="91"/>
      <c r="K4" s="22" t="s">
        <v>150</v>
      </c>
    </row>
    <row r="5" spans="1:15" ht="30" customHeight="1" x14ac:dyDescent="0.3">
      <c r="B5" s="90">
        <f>SUM(المدخلات!$C$55:$C$62)</f>
        <v>508000</v>
      </c>
      <c r="C5" s="91"/>
      <c r="D5" s="90">
        <f>Equity+Loan</f>
        <v>600000</v>
      </c>
      <c r="E5" s="91"/>
      <c r="F5" s="98">
        <f>IF(MIN('التدفق النقدي'!C46:F46)&gt;=0,0,IF(COUNT('التدفق النقدي'!D47:F47)=0,"أكثر من 3 سنوات",MIN('التدفق النقدي'!D47:F47)))</f>
        <v>2.1143491884713073</v>
      </c>
      <c r="G5" s="91"/>
      <c r="H5" s="99">
        <f>SUM('التدفق النقدي'!C49:F49)</f>
        <v>198819.53313143991</v>
      </c>
      <c r="I5" s="91"/>
      <c r="K5" s="23"/>
      <c r="L5" s="24" t="s">
        <v>151</v>
      </c>
      <c r="M5" s="24" t="str">
        <f>"السنة 1"</f>
        <v>السنة 1</v>
      </c>
      <c r="N5" s="24" t="str">
        <f>"السنة 2"</f>
        <v>السنة 2</v>
      </c>
      <c r="O5" s="24" t="str">
        <f>"السنة 3"</f>
        <v>السنة 3</v>
      </c>
    </row>
    <row r="6" spans="1:15" ht="16.05" customHeight="1" x14ac:dyDescent="0.3">
      <c r="B6" s="96" t="str">
        <f>"منها "&amp;FIXED(SUMIF(المدخلات!$D$55:$D$62,"أصل",المدخلات!$C$55:$C$62),0)&amp;" للأصول"</f>
        <v>منها 425,000 للأصول</v>
      </c>
      <c r="C6" s="91"/>
      <c r="D6" s="96" t="str">
        <f>FIXED(Equity,0)&amp;" رأس مال، "&amp;FIXED(Loan,0)&amp;" قرض"</f>
        <v>350,000 رأس مال، 250,000 قرض</v>
      </c>
      <c r="E6" s="91"/>
      <c r="F6" s="96" t="str">
        <f>"بعد الافتتاح"</f>
        <v>بعد الافتتاح</v>
      </c>
      <c r="G6" s="91"/>
      <c r="H6" s="96" t="str">
        <f>"بمعدل "&amp;ROUND(DiscountRate*100,1)&amp;"% سنويًا"&amp;IF(ExitValue=0,"، دون قيمة نهائية","")</f>
        <v>بمعدل 12% سنويًا، دون قيمة نهائية</v>
      </c>
      <c r="I6" s="91"/>
      <c r="K6" s="23" t="s">
        <v>152</v>
      </c>
      <c r="L6" s="24">
        <f>'قائمة الدخل'!C18</f>
        <v>0</v>
      </c>
      <c r="M6" s="24">
        <f>'قائمة الدخل'!D18</f>
        <v>1729000</v>
      </c>
      <c r="N6" s="24">
        <f>'قائمة الدخل'!E18</f>
        <v>2062368.9999999995</v>
      </c>
      <c r="O6" s="24">
        <f>'قائمة الدخل'!F18</f>
        <v>2354805.4670000002</v>
      </c>
    </row>
    <row r="7" spans="1:15" ht="7.95" customHeight="1" x14ac:dyDescent="0.3">
      <c r="K7" s="23" t="s">
        <v>153</v>
      </c>
      <c r="L7" s="24">
        <f>'قائمة الدخل'!C18-'قائمة الدخل'!C66</f>
        <v>65000</v>
      </c>
      <c r="M7" s="24">
        <f>'قائمة الدخل'!D18-'قائمة الدخل'!D66</f>
        <v>1696535.3333333333</v>
      </c>
      <c r="N7" s="24">
        <f>'قائمة الدخل'!E18-'قائمة الدخل'!E66</f>
        <v>1862800.4242419964</v>
      </c>
      <c r="O7" s="24">
        <f>'قائمة الدخل'!F18-'قائمة الدخل'!F66</f>
        <v>1994138.7238033528</v>
      </c>
    </row>
    <row r="8" spans="1:15" ht="16.05" customHeight="1" x14ac:dyDescent="0.3">
      <c r="B8" s="97" t="s">
        <v>154</v>
      </c>
      <c r="C8" s="91"/>
      <c r="D8" s="97" t="s">
        <v>155</v>
      </c>
      <c r="E8" s="91"/>
      <c r="F8" s="97" t="s">
        <v>156</v>
      </c>
      <c r="G8" s="91"/>
      <c r="H8" s="97" t="s">
        <v>157</v>
      </c>
      <c r="I8" s="91"/>
      <c r="K8" s="23" t="s">
        <v>158</v>
      </c>
      <c r="L8" s="24">
        <f>'قائمة الدخل'!C66</f>
        <v>-65000</v>
      </c>
      <c r="M8" s="24">
        <f>'قائمة الدخل'!D66</f>
        <v>32464.666666666672</v>
      </c>
      <c r="N8" s="24">
        <f>'قائمة الدخل'!E66</f>
        <v>199568.57575800322</v>
      </c>
      <c r="O8" s="24">
        <f>'قائمة الدخل'!F66</f>
        <v>360666.74319664738</v>
      </c>
    </row>
    <row r="9" spans="1:15" ht="30" customHeight="1" x14ac:dyDescent="0.3">
      <c r="B9" s="90">
        <f>'قائمة الدخل'!F18</f>
        <v>2354805.4670000002</v>
      </c>
      <c r="C9" s="91"/>
      <c r="D9" s="90">
        <f>'قائمة الدخل'!F66</f>
        <v>360666.74319664738</v>
      </c>
      <c r="E9" s="91"/>
      <c r="F9" s="92">
        <f>IFERROR(IRR('التدفق النقدي'!C45:F45),"لم يتحقق")</f>
        <v>0.29835318993125659</v>
      </c>
      <c r="G9" s="91"/>
      <c r="H9" s="90">
        <f>'نقطة التعادل'!C11</f>
        <v>139898.81910152119</v>
      </c>
      <c r="I9" s="91"/>
      <c r="K9" s="23" t="s">
        <v>159</v>
      </c>
      <c r="L9" s="24">
        <f>'التدفق النقدي'!C22</f>
        <v>92000</v>
      </c>
      <c r="M9" s="24">
        <f>'التدفق النقدي'!D22</f>
        <v>178246.900056921</v>
      </c>
      <c r="N9" s="24">
        <f>'التدفق النقدي'!E22</f>
        <v>421780.81436041713</v>
      </c>
      <c r="O9" s="24">
        <f>'التدفق النقدي'!F22</f>
        <v>822580.20687980414</v>
      </c>
    </row>
    <row r="10" spans="1:15" ht="16.05" customHeight="1" x14ac:dyDescent="0.3">
      <c r="B10" s="96" t="str">
        <f>"السنة 1: "&amp;FIXED('قائمة الدخل'!D18,0)</f>
        <v>السنة 1: 1,729,000</v>
      </c>
      <c r="C10" s="91"/>
      <c r="D10" s="96" t="str">
        <f>"هامش صافٍ "&amp;IF('قائمة الدخل'!F18=0,"–",ROUND('قائمة الدخل'!F66/'قائمة الدخل'!F18*100,1)&amp;"%")</f>
        <v>هامش صافٍ 15.3%</v>
      </c>
      <c r="E10" s="91"/>
      <c r="F10" s="96" t="str">
        <f>"على التدفق النقدي للمشروع"</f>
        <v>على التدفق النقدي للمشروع</v>
      </c>
      <c r="G10" s="91"/>
      <c r="H10" s="96" t="str">
        <f>"خطة السنة 1: "&amp;FIXED('نقطة التعادل'!C12,0)</f>
        <v>خطة السنة 1: 144,083</v>
      </c>
      <c r="I10" s="91"/>
    </row>
    <row r="11" spans="1:15" ht="7.95" customHeight="1" x14ac:dyDescent="0.3"/>
    <row r="13" spans="1:15" ht="19.95" customHeight="1" x14ac:dyDescent="0.3">
      <c r="B13" s="25" t="s">
        <v>160</v>
      </c>
      <c r="C13" s="26"/>
      <c r="D13" s="26"/>
      <c r="E13" s="26"/>
      <c r="F13" s="26"/>
      <c r="G13" s="26"/>
      <c r="H13" s="26"/>
      <c r="I13" s="26"/>
    </row>
    <row r="14" spans="1:15" ht="30" customHeight="1" x14ac:dyDescent="0.3">
      <c r="B14" s="68"/>
      <c r="C14" s="68"/>
      <c r="D14" s="68"/>
      <c r="E14" s="68"/>
      <c r="F14" s="27" t="s">
        <v>151</v>
      </c>
      <c r="G14" s="16" t="str">
        <f>"السنة 1 ("&amp;(FirstYear+0)&amp;")"</f>
        <v>السنة 1 (2027)</v>
      </c>
      <c r="H14" s="16" t="str">
        <f>"السنة 2 ("&amp;(FirstYear+1)&amp;")"</f>
        <v>السنة 2 (2028)</v>
      </c>
      <c r="I14" s="16" t="str">
        <f>"السنة 3 ("&amp;(FirstYear+2)&amp;")"</f>
        <v>السنة 3 (2029)</v>
      </c>
    </row>
    <row r="15" spans="1:15" ht="18" customHeight="1" x14ac:dyDescent="0.3">
      <c r="B15" s="93" t="s">
        <v>152</v>
      </c>
      <c r="C15" s="74"/>
      <c r="D15" s="74"/>
      <c r="E15" s="74"/>
      <c r="F15" s="28">
        <f>'قائمة الدخل'!C18</f>
        <v>0</v>
      </c>
      <c r="G15" s="28">
        <f>'قائمة الدخل'!D18</f>
        <v>1729000</v>
      </c>
      <c r="H15" s="28">
        <f>'قائمة الدخل'!E18</f>
        <v>2062368.9999999995</v>
      </c>
      <c r="I15" s="28">
        <f>'قائمة الدخل'!F18</f>
        <v>2354805.4670000002</v>
      </c>
    </row>
    <row r="16" spans="1:15" ht="18" customHeight="1" x14ac:dyDescent="0.3">
      <c r="B16" s="93" t="s">
        <v>161</v>
      </c>
      <c r="C16" s="74"/>
      <c r="D16" s="74"/>
      <c r="E16" s="74"/>
      <c r="F16" s="28">
        <f>'قائمة الدخل'!C28</f>
        <v>0</v>
      </c>
      <c r="G16" s="28">
        <f>'قائمة الدخل'!D28</f>
        <v>1117840</v>
      </c>
      <c r="H16" s="28">
        <f>'قائمة الدخل'!E28</f>
        <v>1330922.7399999998</v>
      </c>
      <c r="I16" s="28">
        <f>'قائمة الدخل'!F28</f>
        <v>1516566.9468200002</v>
      </c>
    </row>
    <row r="17" spans="2:9" ht="18" customHeight="1" x14ac:dyDescent="0.3">
      <c r="B17" s="93" t="s">
        <v>162</v>
      </c>
      <c r="C17" s="74"/>
      <c r="D17" s="74"/>
      <c r="E17" s="74"/>
      <c r="F17" s="29" t="str">
        <f>'قائمة الدخل'!C29</f>
        <v/>
      </c>
      <c r="G17" s="29">
        <f>'قائمة الدخل'!D29</f>
        <v>0.64652400231347595</v>
      </c>
      <c r="H17" s="29">
        <f>'قائمة الدخل'!E29</f>
        <v>0.64533686260800083</v>
      </c>
      <c r="I17" s="29">
        <f>'قائمة الدخل'!F29</f>
        <v>0.64403067177862983</v>
      </c>
    </row>
    <row r="18" spans="2:9" ht="18" customHeight="1" x14ac:dyDescent="0.3">
      <c r="B18" s="93" t="s">
        <v>163</v>
      </c>
      <c r="C18" s="74"/>
      <c r="D18" s="74"/>
      <c r="E18" s="74"/>
      <c r="F18" s="28">
        <f>'قائمة الدخل'!C53</f>
        <v>-65000</v>
      </c>
      <c r="G18" s="28">
        <f>'قائمة الدخل'!D53</f>
        <v>140798</v>
      </c>
      <c r="H18" s="28">
        <f>'قائمة الدخل'!E53</f>
        <v>304492.7799999998</v>
      </c>
      <c r="I18" s="28">
        <f>'قائمة الدخل'!F53</f>
        <v>461909.08802000032</v>
      </c>
    </row>
    <row r="19" spans="2:9" ht="18" customHeight="1" x14ac:dyDescent="0.3">
      <c r="B19" s="93" t="s">
        <v>164</v>
      </c>
      <c r="C19" s="74"/>
      <c r="D19" s="74"/>
      <c r="E19" s="74"/>
      <c r="F19" s="28">
        <f>'قائمة الدخل'!C63</f>
        <v>0</v>
      </c>
      <c r="G19" s="28">
        <f>'قائمة الدخل'!D63</f>
        <v>0</v>
      </c>
      <c r="H19" s="28">
        <f>'قائمة الدخل'!E63</f>
        <v>0</v>
      </c>
      <c r="I19" s="28">
        <f>'قائمة الدخل'!F63</f>
        <v>0</v>
      </c>
    </row>
    <row r="20" spans="2:9" ht="18" customHeight="1" x14ac:dyDescent="0.3">
      <c r="B20" s="94" t="s">
        <v>158</v>
      </c>
      <c r="C20" s="95"/>
      <c r="D20" s="95"/>
      <c r="E20" s="95"/>
      <c r="F20" s="30">
        <f>'قائمة الدخل'!C66</f>
        <v>-65000</v>
      </c>
      <c r="G20" s="30">
        <f>'قائمة الدخل'!D66</f>
        <v>32464.666666666672</v>
      </c>
      <c r="H20" s="30">
        <f>'قائمة الدخل'!E66</f>
        <v>199568.57575800322</v>
      </c>
      <c r="I20" s="30">
        <f>'قائمة الدخل'!F66</f>
        <v>360666.74319664738</v>
      </c>
    </row>
    <row r="21" spans="2:9" ht="18" customHeight="1" x14ac:dyDescent="0.3">
      <c r="B21" s="93" t="s">
        <v>165</v>
      </c>
      <c r="C21" s="74"/>
      <c r="D21" s="74"/>
      <c r="E21" s="74"/>
      <c r="F21" s="29" t="str">
        <f>'قائمة الدخل'!C67</f>
        <v/>
      </c>
      <c r="G21" s="29">
        <f>'قائمة الدخل'!D67</f>
        <v>1.877655677655678E-2</v>
      </c>
      <c r="H21" s="29">
        <f>'قائمة الدخل'!E67</f>
        <v>9.6766667729200381E-2</v>
      </c>
      <c r="I21" s="29">
        <f>'قائمة الدخل'!F67</f>
        <v>0.1531620120009885</v>
      </c>
    </row>
    <row r="22" spans="2:9" ht="18" customHeight="1" x14ac:dyDescent="0.3">
      <c r="B22" s="94" t="s">
        <v>166</v>
      </c>
      <c r="C22" s="95"/>
      <c r="D22" s="95"/>
      <c r="E22" s="95"/>
      <c r="F22" s="30">
        <f>'التدفق النقدي'!C22</f>
        <v>92000</v>
      </c>
      <c r="G22" s="30">
        <f>'التدفق النقدي'!D22</f>
        <v>178246.900056921</v>
      </c>
      <c r="H22" s="30">
        <f>'التدفق النقدي'!E22</f>
        <v>421780.81436041713</v>
      </c>
      <c r="I22" s="30">
        <f>'التدفق النقدي'!F22</f>
        <v>822580.20687980414</v>
      </c>
    </row>
    <row r="24" spans="2:9" ht="19.95" customHeight="1" x14ac:dyDescent="0.3">
      <c r="B24" s="25" t="s">
        <v>167</v>
      </c>
      <c r="C24" s="26"/>
      <c r="D24" s="26"/>
      <c r="E24" s="26"/>
      <c r="F24" s="26"/>
      <c r="G24" s="26"/>
      <c r="H24" s="26"/>
      <c r="I24" s="26"/>
    </row>
    <row r="25" spans="2:9" ht="19.95" customHeight="1" x14ac:dyDescent="0.3">
      <c r="B25" s="31" t="str">
        <f>IF(MIN('التدفق النقدي'!C22:F22)&gt;=MinCash,"نعم","لا")</f>
        <v>نعم</v>
      </c>
      <c r="C25" s="89" t="str">
        <f>"يبقى النقد فوق الحد الأدنى البالغ "&amp;FIXED(MinCash,0)&amp;" في كل فترة. أدنى رصيد: "&amp;FIXED(MIN('التدفق النقدي'!C22:F22),0)&amp;"."</f>
        <v>يبقى النقد فوق الحد الأدنى البالغ 50,000 في كل فترة. أدنى رصيد: 92,000.</v>
      </c>
      <c r="D25" s="68"/>
      <c r="E25" s="68"/>
      <c r="F25" s="68"/>
      <c r="G25" s="68"/>
      <c r="H25" s="68"/>
      <c r="I25" s="68"/>
    </row>
    <row r="26" spans="2:9" ht="19.95" customHeight="1" x14ac:dyDescent="0.3">
      <c r="B26" s="31" t="str">
        <f>IF(Equity+Loan&gt;=SUM(المدخلات!$C$55:$C$62),"نعم","لا")</f>
        <v>نعم</v>
      </c>
      <c r="C26" s="89" t="str">
        <f>"تمويل بقيمة "&amp;FIXED(Equity+Loan,0)&amp;" يغطي تكاليف التأسيس البالغة "&amp;FIXED(SUM(المدخلات!$C$55:$C$62),0)&amp;"."</f>
        <v>تمويل بقيمة 600,000 يغطي تكاليف التأسيس البالغة 508,000.</v>
      </c>
      <c r="D26" s="68"/>
      <c r="E26" s="68"/>
      <c r="F26" s="68"/>
      <c r="G26" s="68"/>
      <c r="H26" s="68"/>
      <c r="I26" s="68"/>
    </row>
    <row r="27" spans="2:9" ht="19.95" customHeight="1" x14ac:dyDescent="0.3">
      <c r="B27" s="31" t="str">
        <f>IF('قائمة الدخل'!F66&gt;0,"نعم","لا")</f>
        <v>نعم</v>
      </c>
      <c r="C27" s="89" t="str">
        <f>"مربح بحلول السنة 3."</f>
        <v>مربح بحلول السنة 3.</v>
      </c>
      <c r="D27" s="68"/>
      <c r="E27" s="68"/>
      <c r="F27" s="68"/>
      <c r="G27" s="68"/>
      <c r="H27" s="68"/>
      <c r="I27" s="68"/>
    </row>
    <row r="28" spans="2:9" ht="19.95" customHeight="1" x14ac:dyDescent="0.3">
      <c r="B28" s="31" t="str">
        <f>IF(ISNUMBER(F5),IF(F5&lt;=3,"نعم","لا"),"لا")</f>
        <v>نعم</v>
      </c>
      <c r="C28" s="89" t="str">
        <f>"يسترد تكاليف التأسيس خلال ثلاث سنوات من الافتتاح."</f>
        <v>يسترد تكاليف التأسيس خلال ثلاث سنوات من الافتتاح.</v>
      </c>
      <c r="D28" s="68"/>
      <c r="E28" s="68"/>
      <c r="F28" s="68"/>
      <c r="G28" s="68"/>
      <c r="H28" s="68"/>
      <c r="I28" s="68"/>
    </row>
    <row r="29" spans="2:9" ht="19.95" customHeight="1" x14ac:dyDescent="0.3">
      <c r="B29" s="31" t="str">
        <f>IF(MAX('قائمة الدخل'!D18:F18)&gt;375000,"مطلوب",IF(MAX('قائمة الدخل'!D18:F18)&gt;187500,"اختياري","ليس بعد"))</f>
        <v>مطلوب</v>
      </c>
      <c r="C29" s="89" t="str">
        <f>"التسجيل في ضريبة القيمة المضافة: إلزامي عندما تتجاوز المبيعات الخاضعة للضريبة 375,000 درهم خلال 12 شهرًا، واختياري فوق 187,500 درهم."</f>
        <v>التسجيل في ضريبة القيمة المضافة: إلزامي عندما تتجاوز المبيعات الخاضعة للضريبة 375,000 درهم خلال 12 شهرًا، واختياري فوق 187,500 درهم.</v>
      </c>
      <c r="D29" s="68"/>
      <c r="E29" s="68"/>
      <c r="F29" s="68"/>
      <c r="G29" s="68"/>
      <c r="H29" s="68"/>
      <c r="I29" s="68"/>
    </row>
    <row r="31" spans="2:9" ht="19.95" customHeight="1" x14ac:dyDescent="0.3">
      <c r="B31" s="25" t="s">
        <v>168</v>
      </c>
      <c r="C31" s="26"/>
      <c r="D31" s="26"/>
      <c r="E31" s="26"/>
      <c r="F31" s="25" t="s">
        <v>169</v>
      </c>
      <c r="G31" s="26"/>
      <c r="H31" s="26"/>
      <c r="I31" s="26"/>
    </row>
    <row r="32" spans="2:9"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sheetData>
  <sheetProtection sheet="1" formatCells="0" formatColumns="0" formatRows="0"/>
  <mergeCells count="38">
    <mergeCell ref="F4:G4"/>
    <mergeCell ref="D10:E10"/>
    <mergeCell ref="F10:G10"/>
    <mergeCell ref="H10:I10"/>
    <mergeCell ref="B15:E15"/>
    <mergeCell ref="F6:G6"/>
    <mergeCell ref="H4:I4"/>
    <mergeCell ref="F5:G5"/>
    <mergeCell ref="D4:E4"/>
    <mergeCell ref="B5:C5"/>
    <mergeCell ref="D5:E5"/>
    <mergeCell ref="H5:I5"/>
    <mergeCell ref="H8:I8"/>
    <mergeCell ref="B4:C4"/>
    <mergeCell ref="D6:E6"/>
    <mergeCell ref="C28:I28"/>
    <mergeCell ref="H6:I6"/>
    <mergeCell ref="B16:E16"/>
    <mergeCell ref="B8:C8"/>
    <mergeCell ref="C27:I27"/>
    <mergeCell ref="B22:E22"/>
    <mergeCell ref="F8:G8"/>
    <mergeCell ref="B18:E18"/>
    <mergeCell ref="C26:I26"/>
    <mergeCell ref="B10:C10"/>
    <mergeCell ref="B21:E21"/>
    <mergeCell ref="D8:E8"/>
    <mergeCell ref="B6:C6"/>
    <mergeCell ref="C29:I29"/>
    <mergeCell ref="B9:C9"/>
    <mergeCell ref="D9:E9"/>
    <mergeCell ref="C25:I25"/>
    <mergeCell ref="F9:G9"/>
    <mergeCell ref="B14:E14"/>
    <mergeCell ref="B17:E17"/>
    <mergeCell ref="B19:E19"/>
    <mergeCell ref="B20:E20"/>
    <mergeCell ref="H9:I9"/>
  </mergeCells>
  <conditionalFormatting sqref="B25:B29">
    <cfRule type="expression" dxfId="16" priority="4">
      <formula>B25="نعم"</formula>
    </cfRule>
    <cfRule type="expression" dxfId="15" priority="5">
      <formula>B25="لا"</formula>
    </cfRule>
    <cfRule type="expression" dxfId="14" priority="6">
      <formula>B25="مطلوب"</formula>
    </cfRule>
    <cfRule type="expression" dxfId="13" priority="7">
      <formula>B25="اختياري"</formula>
    </cfRule>
    <cfRule type="expression" dxfId="12" priority="8">
      <formula>B25="ليس بعد"</formula>
    </cfRule>
  </conditionalFormatting>
  <conditionalFormatting sqref="B5:I5">
    <cfRule type="expression" dxfId="11" priority="1">
      <formula>AND(ISNUMBER(B5),B5&lt;0)</formula>
    </cfRule>
  </conditionalFormatting>
  <conditionalFormatting sqref="B9:I9">
    <cfRule type="expression" dxfId="10" priority="2">
      <formula>AND(ISNUMBER(B9),B9&lt;0)</formula>
    </cfRule>
  </conditionalFormatting>
  <conditionalFormatting sqref="F15:I22">
    <cfRule type="expression" dxfId="9" priority="3">
      <formula>AND(ISNUMBER(F15),F15&lt;0)</formula>
    </cfRule>
  </conditionalFormatting>
  <printOptions horizontalCentered="1"/>
  <pageMargins left="0.4" right="0.4" top="0.5" bottom="0.5" header="0.25" footer="0.25"/>
  <pageSetup paperSize="9" orientation="portrait"/>
  <headerFooter>
    <oddFooter>&amp;L&amp;7 &amp;K6A727Cصفحة &amp;P من &amp;N&amp;R&amp;7 &amp;K6A727Cنموذج: شوق للتدريب المؤسسي · training.shogconsulting.com</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071BA"/>
    <pageSetUpPr fitToPage="1"/>
  </sheetPr>
  <dimension ref="A1:F67"/>
  <sheetViews>
    <sheetView showGridLines="0" rightToLeft="1" workbookViewId="0">
      <pane xSplit="2" ySplit="4" topLeftCell="C5" activePane="bottomRight" state="frozen"/>
      <selection pane="topRight"/>
      <selection pane="bottomLeft"/>
      <selection pane="bottomRight"/>
    </sheetView>
  </sheetViews>
  <sheetFormatPr defaultRowHeight="14.4" x14ac:dyDescent="0.3"/>
  <cols>
    <col min="1" max="1" width="2" customWidth="1"/>
    <col min="2" max="2" width="50" customWidth="1"/>
    <col min="3" max="6" width="16" customWidth="1"/>
    <col min="7" max="7" width="2" customWidth="1"/>
  </cols>
  <sheetData>
    <row r="1" spans="1:6" ht="30" customHeight="1" x14ac:dyDescent="0.3">
      <c r="A1" s="10" t="s">
        <v>8</v>
      </c>
    </row>
    <row r="2" spans="1:6" ht="19.95" customHeight="1" x14ac:dyDescent="0.3">
      <c r="A2" s="11" t="s">
        <v>170</v>
      </c>
      <c r="B2" s="12"/>
      <c r="C2" s="12"/>
      <c r="D2" s="12"/>
      <c r="E2" s="12"/>
      <c r="F2" s="12"/>
    </row>
    <row r="4" spans="1:6" ht="30" customHeight="1" x14ac:dyDescent="0.3">
      <c r="B4" s="32" t="str">
        <f>Currency&amp;"، دون ضريبة القيمة المضافة"</f>
        <v>درهم، دون ضريبة القيمة المضافة</v>
      </c>
      <c r="C4" s="27" t="s">
        <v>151</v>
      </c>
      <c r="D4" s="16" t="str">
        <f>"السنة 1 ("&amp;(FirstYear+0)&amp;")"</f>
        <v>السنة 1 (2027)</v>
      </c>
      <c r="E4" s="16" t="str">
        <f>"السنة 2 ("&amp;(FirstYear+1)&amp;")"</f>
        <v>السنة 2 (2028)</v>
      </c>
      <c r="F4" s="16" t="str">
        <f>"السنة 3 ("&amp;(FirstYear+2)&amp;")"</f>
        <v>السنة 3 (2029)</v>
      </c>
    </row>
    <row r="5" spans="1:6" ht="19.95" customHeight="1" x14ac:dyDescent="0.3">
      <c r="B5" s="25" t="s">
        <v>171</v>
      </c>
      <c r="C5" s="26"/>
      <c r="D5" s="26"/>
      <c r="E5" s="26"/>
      <c r="F5" s="26"/>
    </row>
    <row r="6" spans="1:6" ht="16.95" customHeight="1" x14ac:dyDescent="0.3">
      <c r="B6" s="33" t="str">
        <f>IF(المدخلات!$B13="","",المدخلات!$B13&amp;IF(المدخلات!$C13="",""," ("&amp;المدخلات!$C13&amp;")"))</f>
        <v>مشروبات ساخنة وباردة (كوب)</v>
      </c>
      <c r="D6" s="34">
        <f>IF(AND(المدخلات!$B13="",المدخلات!$D13="",المدخلات!$E13=""),"",N(المدخلات!$E13))</f>
        <v>54000</v>
      </c>
      <c r="E6" s="34">
        <f>IF(AND(المدخلات!$B13="",المدخلات!$D13="",المدخلات!$E13=""),"",D6*(1+N(المدخلات!$F13)))</f>
        <v>62099.999999999993</v>
      </c>
      <c r="F6" s="34">
        <f>IF(AND(المدخلات!$B13="",المدخلات!$D13="",المدخلات!$E13=""),"",E6*(1+N(المدخلات!$G13)))</f>
        <v>68310</v>
      </c>
    </row>
    <row r="7" spans="1:6" ht="16.95" customHeight="1" x14ac:dyDescent="0.3">
      <c r="B7" s="33" t="str">
        <f>IF(المدخلات!$B14="","",المدخلات!$B14&amp;IF(المدخلات!$C14="",""," ("&amp;المدخلات!$C14&amp;")"))</f>
        <v>مأكولات ومعجنات (قطعة)</v>
      </c>
      <c r="D7" s="34">
        <f>IF(AND(المدخلات!$B14="",المدخلات!$D14="",المدخلات!$E14=""),"",N(المدخلات!$E14))</f>
        <v>25000</v>
      </c>
      <c r="E7" s="34">
        <f>IF(AND(المدخلات!$B14="",المدخلات!$D14="",المدخلات!$E14=""),"",D7*(1+N(المدخلات!$F14)))</f>
        <v>28749.999999999996</v>
      </c>
      <c r="F7" s="34">
        <f>IF(AND(المدخلات!$B14="",المدخلات!$D14="",المدخلات!$E14=""),"",E7*(1+N(المدخلات!$G14)))</f>
        <v>31625</v>
      </c>
    </row>
    <row r="8" spans="1:6" ht="16.95" customHeight="1" x14ac:dyDescent="0.3">
      <c r="B8" s="33" t="str">
        <f>IF(المدخلات!$B15="","",المدخلات!$B15&amp;IF(المدخلات!$C15="",""," ("&amp;المدخلات!$C15&amp;")"))</f>
        <v>حبوب قهوة للبيع (كيس)</v>
      </c>
      <c r="D8" s="34">
        <f>IF(AND(المدخلات!$B15="",المدخلات!$D15="",المدخلات!$E15=""),"",N(المدخلات!$E15))</f>
        <v>1800</v>
      </c>
      <c r="E8" s="34">
        <f>IF(AND(المدخلات!$B15="",المدخلات!$D15="",المدخلات!$E15=""),"",D8*(1+N(المدخلات!$F15)))</f>
        <v>2160</v>
      </c>
      <c r="F8" s="34">
        <f>IF(AND(المدخلات!$B15="",المدخلات!$D15="",المدخلات!$E15=""),"",E8*(1+N(المدخلات!$G15)))</f>
        <v>2484</v>
      </c>
    </row>
    <row r="9" spans="1:6" ht="16.95" customHeight="1" x14ac:dyDescent="0.3">
      <c r="B9" s="33" t="str">
        <f>IF(المدخلات!$B16="","",المدخلات!$B16&amp;IF(المدخلات!$C16="",""," ("&amp;المدخلات!$C16&amp;")"))</f>
        <v>طلبات ضيافة للمكاتب (طلب)</v>
      </c>
      <c r="D9" s="34">
        <f>IF(AND(المدخلات!$B16="",المدخلات!$D16="",المدخلات!$E16=""),"",N(المدخلات!$E16))</f>
        <v>60</v>
      </c>
      <c r="E9" s="34">
        <f>IF(AND(المدخلات!$B16="",المدخلات!$D16="",المدخلات!$E16=""),"",D9*(1+N(المدخلات!$F16)))</f>
        <v>75</v>
      </c>
      <c r="F9" s="34">
        <f>IF(AND(المدخلات!$B16="",المدخلات!$D16="",المدخلات!$E16=""),"",E9*(1+N(المدخلات!$G16)))</f>
        <v>90</v>
      </c>
    </row>
    <row r="10" spans="1:6" ht="16.95" customHeight="1" x14ac:dyDescent="0.3">
      <c r="B10" s="33" t="str">
        <f>IF(المدخلات!$B17="","",المدخلات!$B17&amp;IF(المدخلات!$C17="",""," ("&amp;المدخلات!$C17&amp;")"))</f>
        <v/>
      </c>
      <c r="D10" s="34" t="str">
        <f>IF(AND(المدخلات!$B17="",المدخلات!$D17="",المدخلات!$E17=""),"",N(المدخلات!$E17))</f>
        <v/>
      </c>
      <c r="E10" s="34" t="str">
        <f>IF(AND(المدخلات!$B17="",المدخلات!$D17="",المدخلات!$E17=""),"",D10*(1+N(المدخلات!$F17)))</f>
        <v/>
      </c>
      <c r="F10" s="34" t="str">
        <f>IF(AND(المدخلات!$B17="",المدخلات!$D17="",المدخلات!$E17=""),"",E10*(1+N(المدخلات!$G17)))</f>
        <v/>
      </c>
    </row>
    <row r="11" spans="1:6" ht="16.95" customHeight="1" x14ac:dyDescent="0.3"/>
    <row r="12" spans="1:6" ht="19.95" customHeight="1" x14ac:dyDescent="0.3">
      <c r="B12" s="25" t="s">
        <v>152</v>
      </c>
      <c r="C12" s="26"/>
      <c r="D12" s="26"/>
      <c r="E12" s="26"/>
      <c r="F12" s="26"/>
    </row>
    <row r="13" spans="1:6" ht="16.95" customHeight="1" x14ac:dyDescent="0.3">
      <c r="B13" s="33" t="str">
        <f>IF(المدخلات!$B13="","",المدخلات!$B13)</f>
        <v>مشروبات ساخنة وباردة</v>
      </c>
      <c r="D13" s="34">
        <f>IF(AND(المدخلات!$B13="",المدخلات!$D13="",المدخلات!$E13=""),"",D6*N(المدخلات!$D13)*(1+PriceInc)^0)</f>
        <v>972000</v>
      </c>
      <c r="E13" s="34">
        <f>IF(AND(المدخلات!$B13="",المدخلات!$D13="",المدخلات!$E13=""),"",E6*N(المدخلات!$D13)*(1+PriceInc)^1)</f>
        <v>1151333.9999999998</v>
      </c>
      <c r="F13" s="34">
        <f>IF(AND(المدخلات!$B13="",المدخلات!$D13="",المدخلات!$E13=""),"",F6*N(المدخلات!$D13)*(1+PriceInc)^2)</f>
        <v>1304461.422</v>
      </c>
    </row>
    <row r="14" spans="1:6" ht="16.95" customHeight="1" x14ac:dyDescent="0.3">
      <c r="B14" s="33" t="str">
        <f>IF(المدخلات!$B14="","",المدخلات!$B14)</f>
        <v>مأكولات ومعجنات</v>
      </c>
      <c r="D14" s="34">
        <f>IF(AND(المدخلات!$B14="",المدخلات!$D14="",المدخلات!$E14=""),"",D7*N(المدخلات!$D14)*(1+PriceInc)^0)</f>
        <v>550000</v>
      </c>
      <c r="E14" s="34">
        <f>IF(AND(المدخلات!$B14="",المدخلات!$D14="",المدخلات!$E14=""),"",E7*N(المدخلات!$D14)*(1+PriceInc)^1)</f>
        <v>651474.99999999988</v>
      </c>
      <c r="F14" s="34">
        <f>IF(AND(المدخلات!$B14="",المدخلات!$D14="",المدخلات!$E14=""),"",F7*N(المدخلات!$D14)*(1+PriceInc)^2)</f>
        <v>738121.17499999993</v>
      </c>
    </row>
    <row r="15" spans="1:6" ht="16.95" customHeight="1" x14ac:dyDescent="0.3">
      <c r="B15" s="33" t="str">
        <f>IF(المدخلات!$B15="","",المدخلات!$B15)</f>
        <v>حبوب قهوة للبيع</v>
      </c>
      <c r="D15" s="34">
        <f>IF(AND(المدخلات!$B15="",المدخلات!$D15="",المدخلات!$E15=""),"",D8*N(المدخلات!$D15)*(1+PriceInc)^0)</f>
        <v>135000</v>
      </c>
      <c r="E15" s="34">
        <f>IF(AND(المدخلات!$B15="",المدخلات!$D15="",المدخلات!$E15=""),"",E8*N(المدخلات!$D15)*(1+PriceInc)^1)</f>
        <v>166860</v>
      </c>
      <c r="F15" s="34">
        <f>IF(AND(المدخلات!$B15="",المدخلات!$D15="",المدخلات!$E15=""),"",F8*N(المدخلات!$D15)*(1+PriceInc)^2)</f>
        <v>197645.66999999998</v>
      </c>
    </row>
    <row r="16" spans="1:6" ht="16.95" customHeight="1" x14ac:dyDescent="0.3">
      <c r="B16" s="33" t="str">
        <f>IF(المدخلات!$B16="","",المدخلات!$B16)</f>
        <v>طلبات ضيافة للمكاتب</v>
      </c>
      <c r="D16" s="34">
        <f>IF(AND(المدخلات!$B16="",المدخلات!$D16="",المدخلات!$E16=""),"",D9*N(المدخلات!$D16)*(1+PriceInc)^0)</f>
        <v>72000</v>
      </c>
      <c r="E16" s="34">
        <f>IF(AND(المدخلات!$B16="",المدخلات!$D16="",المدخلات!$E16=""),"",E9*N(المدخلات!$D16)*(1+PriceInc)^1)</f>
        <v>92700</v>
      </c>
      <c r="F16" s="34">
        <f>IF(AND(المدخلات!$B16="",المدخلات!$D16="",المدخلات!$E16=""),"",F9*N(المدخلات!$D16)*(1+PriceInc)^2)</f>
        <v>114577.2</v>
      </c>
    </row>
    <row r="17" spans="2:6" ht="16.95" customHeight="1" x14ac:dyDescent="0.3">
      <c r="B17" s="33" t="str">
        <f>IF(المدخلات!$B17="","",المدخلات!$B17)</f>
        <v/>
      </c>
      <c r="D17" s="34" t="str">
        <f>IF(AND(المدخلات!$B17="",المدخلات!$D17="",المدخلات!$E17=""),"",D10*N(المدخلات!$D17)*(1+PriceInc)^0)</f>
        <v/>
      </c>
      <c r="E17" s="34" t="str">
        <f>IF(AND(المدخلات!$B17="",المدخلات!$D17="",المدخلات!$E17=""),"",E10*N(المدخلات!$D17)*(1+PriceInc)^1)</f>
        <v/>
      </c>
      <c r="F17" s="34" t="str">
        <f>IF(AND(المدخلات!$B17="",المدخلات!$D17="",المدخلات!$E17=""),"",F10*N(المدخلات!$D17)*(1+PriceInc)^2)</f>
        <v/>
      </c>
    </row>
    <row r="18" spans="2:6" ht="16.95" customHeight="1" x14ac:dyDescent="0.3">
      <c r="B18" s="35" t="s">
        <v>172</v>
      </c>
      <c r="C18" s="36">
        <f>SUM(C13:C17)</f>
        <v>0</v>
      </c>
      <c r="D18" s="36">
        <f>SUM(D13:D17)</f>
        <v>1729000</v>
      </c>
      <c r="E18" s="36">
        <f>SUM(E13:E17)</f>
        <v>2062368.9999999995</v>
      </c>
      <c r="F18" s="36">
        <f>SUM(F13:F17)</f>
        <v>2354805.4670000002</v>
      </c>
    </row>
    <row r="19" spans="2:6" ht="16.95" customHeight="1" x14ac:dyDescent="0.3"/>
    <row r="20" spans="2:6" ht="19.95" customHeight="1" x14ac:dyDescent="0.3">
      <c r="B20" s="25" t="s">
        <v>173</v>
      </c>
      <c r="C20" s="26"/>
      <c r="D20" s="26"/>
      <c r="E20" s="26"/>
      <c r="F20" s="26"/>
    </row>
    <row r="21" spans="2:6" ht="16.95" customHeight="1" x14ac:dyDescent="0.3">
      <c r="B21" s="33" t="str">
        <f>IF(المدخلات!$B13="","",المدخلات!$B13)</f>
        <v>مشروبات ساخنة وباردة</v>
      </c>
      <c r="D21" s="34">
        <f>IF(AND(المدخلات!$B13="",المدخلات!$D13="",المدخلات!$E13=""),"",D6*N(المدخلات!$H13)*(1+CostInc)^0)</f>
        <v>243000</v>
      </c>
      <c r="E21" s="34">
        <f>IF(AND(المدخلات!$B13="",المدخلات!$D13="",المدخلات!$E13=""),"",E6*N(المدخلات!$H13)*(1+CostInc)^1)</f>
        <v>287833.49999999994</v>
      </c>
      <c r="F21" s="34">
        <f>IF(AND(المدخلات!$B13="",المدخلات!$D13="",المدخلات!$E13=""),"",F6*N(المدخلات!$H13)*(1+CostInc)^2)</f>
        <v>326115.35550000001</v>
      </c>
    </row>
    <row r="22" spans="2:6" ht="16.95" customHeight="1" x14ac:dyDescent="0.3">
      <c r="B22" s="33" t="str">
        <f>IF(المدخلات!$B14="","",المدخلات!$B14)</f>
        <v>مأكولات ومعجنات</v>
      </c>
      <c r="D22" s="34">
        <f>IF(AND(المدخلات!$B14="",المدخلات!$D14="",المدخلات!$E14=""),"",D7*N(المدخلات!$H14)*(1+CostInc)^0)</f>
        <v>200000</v>
      </c>
      <c r="E22" s="34">
        <f>IF(AND(المدخلات!$B14="",المدخلات!$D14="",المدخلات!$E14=""),"",E7*N(المدخلات!$H14)*(1+CostInc)^1)</f>
        <v>236899.99999999997</v>
      </c>
      <c r="F22" s="34">
        <f>IF(AND(المدخلات!$B14="",المدخلات!$D14="",المدخلات!$E14=""),"",F7*N(المدخلات!$H14)*(1+CostInc)^2)</f>
        <v>268407.7</v>
      </c>
    </row>
    <row r="23" spans="2:6" ht="16.95" customHeight="1" x14ac:dyDescent="0.3">
      <c r="B23" s="33" t="str">
        <f>IF(المدخلات!$B15="","",المدخلات!$B15)</f>
        <v>حبوب قهوة للبيع</v>
      </c>
      <c r="D23" s="34">
        <f>IF(AND(المدخلات!$B15="",المدخلات!$D15="",المدخلات!$E15=""),"",D8*N(المدخلات!$H15)*(1+CostInc)^0)</f>
        <v>63000</v>
      </c>
      <c r="E23" s="34">
        <f>IF(AND(المدخلات!$B15="",المدخلات!$D15="",المدخلات!$E15=""),"",E8*N(المدخلات!$H15)*(1+CostInc)^1)</f>
        <v>77868</v>
      </c>
      <c r="F23" s="34">
        <f>IF(AND(المدخلات!$B15="",المدخلات!$D15="",المدخلات!$E15=""),"",F8*N(المدخلات!$H15)*(1+CostInc)^2)</f>
        <v>92234.645999999993</v>
      </c>
    </row>
    <row r="24" spans="2:6" ht="16.95" customHeight="1" x14ac:dyDescent="0.3">
      <c r="B24" s="33" t="str">
        <f>IF(المدخلات!$B16="","",المدخلات!$B16)</f>
        <v>طلبات ضيافة للمكاتب</v>
      </c>
      <c r="D24" s="34">
        <f>IF(AND(المدخلات!$B16="",المدخلات!$D16="",المدخلات!$E16=""),"",D9*N(المدخلات!$H16)*(1+CostInc)^0)</f>
        <v>36000</v>
      </c>
      <c r="E24" s="34">
        <f>IF(AND(المدخلات!$B16="",المدخلات!$D16="",المدخلات!$E16=""),"",E9*N(المدخلات!$H16)*(1+CostInc)^1)</f>
        <v>46350</v>
      </c>
      <c r="F24" s="34">
        <f>IF(AND(المدخلات!$B16="",المدخلات!$D16="",المدخلات!$E16=""),"",F9*N(المدخلات!$H16)*(1+CostInc)^2)</f>
        <v>57288.6</v>
      </c>
    </row>
    <row r="25" spans="2:6" ht="16.95" customHeight="1" x14ac:dyDescent="0.3">
      <c r="B25" s="33" t="str">
        <f>IF(المدخلات!$B17="","",المدخلات!$B17)</f>
        <v/>
      </c>
      <c r="D25" s="34" t="str">
        <f>IF(AND(المدخلات!$B17="",المدخلات!$D17="",المدخلات!$E17=""),"",D10*N(المدخلات!$H17)*(1+CostInc)^0)</f>
        <v/>
      </c>
      <c r="E25" s="34" t="str">
        <f>IF(AND(المدخلات!$B17="",المدخلات!$D17="",المدخلات!$E17=""),"",E10*N(المدخلات!$H17)*(1+CostInc)^1)</f>
        <v/>
      </c>
      <c r="F25" s="34" t="str">
        <f>IF(AND(المدخلات!$B17="",المدخلات!$D17="",المدخلات!$E17=""),"",F10*N(المدخلات!$H17)*(1+CostInc)^2)</f>
        <v/>
      </c>
    </row>
    <row r="26" spans="2:6" ht="16.95" customHeight="1" x14ac:dyDescent="0.3">
      <c r="B26" s="5" t="s">
        <v>174</v>
      </c>
      <c r="D26" s="34">
        <f>FeesPct*D18</f>
        <v>69160</v>
      </c>
      <c r="E26" s="34">
        <f>FeesPct*E18</f>
        <v>82494.75999999998</v>
      </c>
      <c r="F26" s="34">
        <f>FeesPct*F18</f>
        <v>94192.218680000005</v>
      </c>
    </row>
    <row r="27" spans="2:6" ht="16.95" customHeight="1" x14ac:dyDescent="0.3">
      <c r="B27" s="35" t="s">
        <v>175</v>
      </c>
      <c r="C27" s="36">
        <f>SUM(C21:C26)</f>
        <v>0</v>
      </c>
      <c r="D27" s="36">
        <f>SUM(D21:D26)</f>
        <v>611160</v>
      </c>
      <c r="E27" s="36">
        <f>SUM(E21:E26)</f>
        <v>731446.25999999989</v>
      </c>
      <c r="F27" s="36">
        <f>SUM(F21:F26)</f>
        <v>838238.52017999999</v>
      </c>
    </row>
    <row r="28" spans="2:6" ht="16.95" customHeight="1" x14ac:dyDescent="0.3">
      <c r="B28" s="37" t="s">
        <v>161</v>
      </c>
      <c r="C28" s="38">
        <f>C18-C27</f>
        <v>0</v>
      </c>
      <c r="D28" s="38">
        <f>D18-D27</f>
        <v>1117840</v>
      </c>
      <c r="E28" s="38">
        <f>E18-E27</f>
        <v>1330922.7399999998</v>
      </c>
      <c r="F28" s="38">
        <f>F18-F27</f>
        <v>1516566.9468200002</v>
      </c>
    </row>
    <row r="29" spans="2:6" ht="16.95" customHeight="1" x14ac:dyDescent="0.3">
      <c r="B29" s="39" t="s">
        <v>162</v>
      </c>
      <c r="C29" s="40" t="str">
        <f>IF(C18=0,"",C28/C18)</f>
        <v/>
      </c>
      <c r="D29" s="40">
        <f>IF(D18=0,"",D28/D18)</f>
        <v>0.64652400231347595</v>
      </c>
      <c r="E29" s="40">
        <f>IF(E18=0,"",E28/E18)</f>
        <v>0.64533686260800083</v>
      </c>
      <c r="F29" s="40">
        <f>IF(F18=0,"",F28/F18)</f>
        <v>0.64403067177862983</v>
      </c>
    </row>
    <row r="30" spans="2:6" ht="16.95" customHeight="1" x14ac:dyDescent="0.3"/>
    <row r="31" spans="2:6" ht="19.95" customHeight="1" x14ac:dyDescent="0.3">
      <c r="B31" s="25" t="s">
        <v>68</v>
      </c>
      <c r="C31" s="26"/>
      <c r="D31" s="26"/>
      <c r="E31" s="26"/>
      <c r="F31" s="26"/>
    </row>
    <row r="32" spans="2:6" ht="16.95" customHeight="1" x14ac:dyDescent="0.3">
      <c r="B32" s="39" t="s">
        <v>176</v>
      </c>
      <c r="D32" s="41">
        <f>SUM(المدخلات!D$25:D$32)</f>
        <v>8</v>
      </c>
      <c r="E32" s="41">
        <f>SUM(المدخلات!E$25:E$32)</f>
        <v>9</v>
      </c>
      <c r="F32" s="41">
        <f>SUM(المدخلات!F$25:F$32)</f>
        <v>9</v>
      </c>
    </row>
    <row r="33" spans="2:6" ht="16.95" customHeight="1" x14ac:dyDescent="0.3">
      <c r="B33" s="5" t="s">
        <v>177</v>
      </c>
      <c r="D33" s="34">
        <f>SUMPRODUCT(المدخلات!$C$25:$C$32,المدخلات!D$25:D$32)*12*(1+PayRise)^0</f>
        <v>481200</v>
      </c>
      <c r="E33" s="34">
        <f>SUMPRODUCT(المدخلات!$C$25:$C$32,المدخلات!E$25:E$32)*12*(1+PayRise)^1</f>
        <v>551256</v>
      </c>
      <c r="F33" s="34">
        <f>SUMPRODUCT(المدخلات!$C$25:$C$32,المدخلات!F$25:F$32)*12*(1+PayRise)^2</f>
        <v>567793.67999999993</v>
      </c>
    </row>
    <row r="34" spans="2:6" ht="16.95" customHeight="1" x14ac:dyDescent="0.3">
      <c r="B34" s="5" t="s">
        <v>178</v>
      </c>
      <c r="D34" s="34">
        <f>D33*BasicShare*GratuityDays/360</f>
        <v>16842</v>
      </c>
      <c r="E34" s="34">
        <f>E33*BasicShare*GratuityDays/360</f>
        <v>19293.96</v>
      </c>
      <c r="F34" s="34">
        <f>F33*BasicShare*GratuityDays/360</f>
        <v>19872.778799999996</v>
      </c>
    </row>
    <row r="35" spans="2:6" ht="16.95" customHeight="1" x14ac:dyDescent="0.3">
      <c r="B35" s="5" t="s">
        <v>179</v>
      </c>
      <c r="D35" s="34">
        <f>D32*MedicalPP</f>
        <v>20000</v>
      </c>
      <c r="E35" s="34">
        <f>E32*MedicalPP</f>
        <v>22500</v>
      </c>
      <c r="F35" s="34">
        <f>F32*MedicalPP</f>
        <v>22500</v>
      </c>
    </row>
    <row r="36" spans="2:6" ht="16.95" customHeight="1" x14ac:dyDescent="0.3">
      <c r="B36" s="5" t="s">
        <v>180</v>
      </c>
      <c r="D36" s="34">
        <f>SUM(المدخلات!D$25:D$32)*VisaPerHire</f>
        <v>48000</v>
      </c>
      <c r="E36" s="34">
        <f>SUMPRODUCT((المدخلات!E$25:E$32-المدخلات!D$25:D$32)*(المدخلات!E$25:E$32&gt;المدخلات!D$25:D$32))*VisaPerHire</f>
        <v>6000</v>
      </c>
      <c r="F36" s="34">
        <f>SUMPRODUCT((المدخلات!F$25:F$32-المدخلات!E$25:E$32)*(المدخلات!F$25:F$32&gt;المدخلات!E$25:E$32))*VisaPerHire</f>
        <v>0</v>
      </c>
    </row>
    <row r="37" spans="2:6" ht="16.95" customHeight="1" x14ac:dyDescent="0.3">
      <c r="B37" s="35" t="s">
        <v>181</v>
      </c>
      <c r="C37" s="36">
        <f>SUM(C33:C36)</f>
        <v>0</v>
      </c>
      <c r="D37" s="36">
        <f>SUM(D33:D36)</f>
        <v>566042</v>
      </c>
      <c r="E37" s="36">
        <f>SUM(E33:E36)</f>
        <v>599049.96</v>
      </c>
      <c r="F37" s="36">
        <f>SUM(F33:F36)</f>
        <v>610166.45879999991</v>
      </c>
    </row>
    <row r="38" spans="2:6" ht="16.95" customHeight="1" x14ac:dyDescent="0.3"/>
    <row r="39" spans="2:6" ht="19.95" customHeight="1" x14ac:dyDescent="0.3">
      <c r="B39" s="25" t="s">
        <v>182</v>
      </c>
      <c r="C39" s="26"/>
      <c r="D39" s="26"/>
      <c r="E39" s="26"/>
      <c r="F39" s="26"/>
    </row>
    <row r="40" spans="2:6" ht="16.95" customHeight="1" x14ac:dyDescent="0.3">
      <c r="B40" s="33" t="str">
        <f>IF(المدخلات!$B42="","",المدخلات!$B42)</f>
        <v>الإيجار</v>
      </c>
      <c r="D40" s="34">
        <f>IF(AND(المدخلات!$B42="",المدخلات!$C42=""),"",N(المدخلات!$C42)*(1+N(المدخلات!$D42))^0)</f>
        <v>180000</v>
      </c>
      <c r="E40" s="34">
        <f>IF(AND(المدخلات!$B42="",المدخلات!$C42=""),"",N(المدخلات!$C42)*(1+N(المدخلات!$D42))^1)</f>
        <v>189000</v>
      </c>
      <c r="F40" s="34">
        <f>IF(AND(المدخلات!$B42="",المدخلات!$C42=""),"",N(المدخلات!$C42)*(1+N(المدخلات!$D42))^2)</f>
        <v>198450</v>
      </c>
    </row>
    <row r="41" spans="2:6" ht="16.95" customHeight="1" x14ac:dyDescent="0.3">
      <c r="B41" s="33" t="str">
        <f>IF(المدخلات!$B43="","",المدخلات!$B43)</f>
        <v>الكهرباء والماء والإنترنت</v>
      </c>
      <c r="D41" s="34">
        <f>IF(AND(المدخلات!$B43="",المدخلات!$C43=""),"",N(المدخلات!$C43)*(1+N(المدخلات!$D43))^0)</f>
        <v>54000</v>
      </c>
      <c r="E41" s="34">
        <f>IF(AND(المدخلات!$B43="",المدخلات!$C43=""),"",N(المدخلات!$C43)*(1+N(المدخلات!$D43))^1)</f>
        <v>55620</v>
      </c>
      <c r="F41" s="34">
        <f>IF(AND(المدخلات!$B43="",المدخلات!$C43=""),"",N(المدخلات!$C43)*(1+N(المدخلات!$D43))^2)</f>
        <v>57288.6</v>
      </c>
    </row>
    <row r="42" spans="2:6" ht="16.95" customHeight="1" x14ac:dyDescent="0.3">
      <c r="B42" s="33" t="str">
        <f>IF(المدخلات!$B44="","",المدخلات!$B44)</f>
        <v>الرخصة التجارية والتصاريح</v>
      </c>
      <c r="D42" s="34">
        <f>IF(AND(المدخلات!$B44="",المدخلات!$C44=""),"",N(المدخلات!$C44)*(1+N(المدخلات!$D44))^0)</f>
        <v>25000</v>
      </c>
      <c r="E42" s="34">
        <f>IF(AND(المدخلات!$B44="",المدخلات!$C44=""),"",N(المدخلات!$C44)*(1+N(المدخلات!$D44))^1)</f>
        <v>25000</v>
      </c>
      <c r="F42" s="34">
        <f>IF(AND(المدخلات!$B44="",المدخلات!$C44=""),"",N(المدخلات!$C44)*(1+N(المدخلات!$D44))^2)</f>
        <v>25000</v>
      </c>
    </row>
    <row r="43" spans="2:6" ht="16.95" customHeight="1" x14ac:dyDescent="0.3">
      <c r="B43" s="33" t="str">
        <f>IF(المدخلات!$B45="","",المدخلات!$B45)</f>
        <v>التسويق والإعلان</v>
      </c>
      <c r="D43" s="34">
        <f>IF(AND(المدخلات!$B45="",المدخلات!$C45=""),"",N(المدخلات!$C45)*(1+N(المدخلات!$D45))^0)</f>
        <v>60000</v>
      </c>
      <c r="E43" s="34">
        <f>IF(AND(المدخلات!$B45="",المدخلات!$C45=""),"",N(المدخلات!$C45)*(1+N(المدخلات!$D45))^1)</f>
        <v>63000</v>
      </c>
      <c r="F43" s="34">
        <f>IF(AND(المدخلات!$B45="",المدخلات!$C45=""),"",N(المدخلات!$C45)*(1+N(المدخلات!$D45))^2)</f>
        <v>66150</v>
      </c>
    </row>
    <row r="44" spans="2:6" ht="16.95" customHeight="1" x14ac:dyDescent="0.3">
      <c r="B44" s="33" t="str">
        <f>IF(المدخلات!$B46="","",المدخلات!$B46)</f>
        <v>البرمجيات ونظام نقاط البيع وتطبيقات التوصيل</v>
      </c>
      <c r="D44" s="34">
        <f>IF(AND(المدخلات!$B46="",المدخلات!$C46=""),"",N(المدخلات!$C46)*(1+N(المدخلات!$D46))^0)</f>
        <v>30000</v>
      </c>
      <c r="E44" s="34">
        <f>IF(AND(المدخلات!$B46="",المدخلات!$C46=""),"",N(المدخلات!$C46)*(1+N(المدخلات!$D46))^1)</f>
        <v>30900</v>
      </c>
      <c r="F44" s="34">
        <f>IF(AND(المدخلات!$B46="",المدخلات!$C46=""),"",N(المدخلات!$C46)*(1+N(المدخلات!$D46))^2)</f>
        <v>31827</v>
      </c>
    </row>
    <row r="45" spans="2:6" ht="16.95" customHeight="1" x14ac:dyDescent="0.3">
      <c r="B45" s="33" t="str">
        <f>IF(المدخلات!$B47="","",المدخلات!$B47)</f>
        <v>التأمين</v>
      </c>
      <c r="D45" s="34">
        <f>IF(AND(المدخلات!$B47="",المدخلات!$C47=""),"",N(المدخلات!$C47)*(1+N(المدخلات!$D47))^0)</f>
        <v>8000</v>
      </c>
      <c r="E45" s="34">
        <f>IF(AND(المدخلات!$B47="",المدخلات!$C47=""),"",N(المدخلات!$C47)*(1+N(المدخلات!$D47))^1)</f>
        <v>8240</v>
      </c>
      <c r="F45" s="34">
        <f>IF(AND(المدخلات!$B47="",المدخلات!$C47=""),"",N(المدخلات!$C47)*(1+N(المدخلات!$D47))^2)</f>
        <v>8487.1999999999989</v>
      </c>
    </row>
    <row r="46" spans="2:6" ht="16.95" customHeight="1" x14ac:dyDescent="0.3">
      <c r="B46" s="33" t="str">
        <f>IF(المدخلات!$B48="","",المدخلات!$B48)</f>
        <v>المحاسبة والتدقيق</v>
      </c>
      <c r="D46" s="34">
        <f>IF(AND(المدخلات!$B48="",المدخلات!$C48=""),"",N(المدخلات!$C48)*(1+N(المدخلات!$D48))^0)</f>
        <v>18000</v>
      </c>
      <c r="E46" s="34">
        <f>IF(AND(المدخلات!$B48="",المدخلات!$C48=""),"",N(المدخلات!$C48)*(1+N(المدخلات!$D48))^1)</f>
        <v>18540</v>
      </c>
      <c r="F46" s="34">
        <f>IF(AND(المدخلات!$B48="",المدخلات!$C48=""),"",N(المدخلات!$C48)*(1+N(المدخلات!$D48))^2)</f>
        <v>19096.2</v>
      </c>
    </row>
    <row r="47" spans="2:6" ht="16.95" customHeight="1" x14ac:dyDescent="0.3">
      <c r="B47" s="33" t="str">
        <f>IF(المدخلات!$B49="","",المدخلات!$B49)</f>
        <v>الصيانة والتنظيف</v>
      </c>
      <c r="D47" s="34">
        <f>IF(AND(المدخلات!$B49="",المدخلات!$C49=""),"",N(المدخلات!$C49)*(1+N(المدخلات!$D49))^0)</f>
        <v>24000</v>
      </c>
      <c r="E47" s="34">
        <f>IF(AND(المدخلات!$B49="",المدخلات!$C49=""),"",N(المدخلات!$C49)*(1+N(المدخلات!$D49))^1)</f>
        <v>24720</v>
      </c>
      <c r="F47" s="34">
        <f>IF(AND(المدخلات!$B49="",المدخلات!$C49=""),"",N(المدخلات!$C49)*(1+N(المدخلات!$D49))^2)</f>
        <v>25461.599999999999</v>
      </c>
    </row>
    <row r="48" spans="2:6" ht="16.95" customHeight="1" x14ac:dyDescent="0.3">
      <c r="B48" s="33" t="str">
        <f>IF(المدخلات!$B50="","",المدخلات!$B50)</f>
        <v>تكاليف أخرى</v>
      </c>
      <c r="D48" s="34">
        <f>IF(AND(المدخلات!$B50="",المدخلات!$C50=""),"",N(المدخلات!$C50)*(1+N(المدخلات!$D50))^0)</f>
        <v>12000</v>
      </c>
      <c r="E48" s="34">
        <f>IF(AND(المدخلات!$B50="",المدخلات!$C50=""),"",N(المدخلات!$C50)*(1+N(المدخلات!$D50))^1)</f>
        <v>12360</v>
      </c>
      <c r="F48" s="34">
        <f>IF(AND(المدخلات!$B50="",المدخلات!$C50=""),"",N(المدخلات!$C50)*(1+N(المدخلات!$D50))^2)</f>
        <v>12730.8</v>
      </c>
    </row>
    <row r="49" spans="2:6" ht="16.95" customHeight="1" x14ac:dyDescent="0.3">
      <c r="B49" s="33" t="str">
        <f>IF(المدخلات!$B51="","",المدخلات!$B51)</f>
        <v/>
      </c>
      <c r="D49" s="34" t="str">
        <f>IF(AND(المدخلات!$B51="",المدخلات!$C51=""),"",N(المدخلات!$C51)*(1+N(المدخلات!$D51))^0)</f>
        <v/>
      </c>
      <c r="E49" s="34" t="str">
        <f>IF(AND(المدخلات!$B51="",المدخلات!$C51=""),"",N(المدخلات!$C51)*(1+N(المدخلات!$D51))^1)</f>
        <v/>
      </c>
      <c r="F49" s="34" t="str">
        <f>IF(AND(المدخلات!$B51="",المدخلات!$C51=""),"",N(المدخلات!$C51)*(1+N(المدخلات!$D51))^2)</f>
        <v/>
      </c>
    </row>
    <row r="50" spans="2:6" ht="16.95" customHeight="1" x14ac:dyDescent="0.3">
      <c r="B50" s="5" t="s">
        <v>183</v>
      </c>
      <c r="C50" s="34">
        <f>SUMIF(المدخلات!$D$55:$D$62,"مصروف",المدخلات!$C$55:$C$62)</f>
        <v>65000</v>
      </c>
      <c r="D50" s="34">
        <f>0</f>
        <v>0</v>
      </c>
      <c r="E50" s="34">
        <f>0</f>
        <v>0</v>
      </c>
      <c r="F50" s="34">
        <f>0</f>
        <v>0</v>
      </c>
    </row>
    <row r="51" spans="2:6" ht="16.95" customHeight="1" x14ac:dyDescent="0.3">
      <c r="B51" s="35" t="s">
        <v>184</v>
      </c>
      <c r="C51" s="36">
        <f>SUM(C40:C50)</f>
        <v>65000</v>
      </c>
      <c r="D51" s="36">
        <f>SUM(D40:D50)</f>
        <v>411000</v>
      </c>
      <c r="E51" s="36">
        <f>SUM(E40:E50)</f>
        <v>427380</v>
      </c>
      <c r="F51" s="36">
        <f>SUM(F40:F50)</f>
        <v>444491.39999999997</v>
      </c>
    </row>
    <row r="52" spans="2:6" ht="16.95" customHeight="1" x14ac:dyDescent="0.3"/>
    <row r="53" spans="2:6" ht="16.95" customHeight="1" x14ac:dyDescent="0.3">
      <c r="B53" s="37" t="s">
        <v>185</v>
      </c>
      <c r="C53" s="38">
        <f>C28-C37-C51</f>
        <v>-65000</v>
      </c>
      <c r="D53" s="38">
        <f>D28-D37-D51</f>
        <v>140798</v>
      </c>
      <c r="E53" s="38">
        <f>E28-E37-E51</f>
        <v>304492.7799999998</v>
      </c>
      <c r="F53" s="38">
        <f>F28-F37-F51</f>
        <v>461909.08802000032</v>
      </c>
    </row>
    <row r="54" spans="2:6" ht="16.95" customHeight="1" x14ac:dyDescent="0.3">
      <c r="B54" s="5" t="s">
        <v>186</v>
      </c>
      <c r="C54" s="34">
        <f>0</f>
        <v>0</v>
      </c>
      <c r="D54" s="34">
        <f>SUMPRODUCT((المدخلات!$D$55:$D$62="أصل")*(المدخلات!$E$55:$E$62&gt;=1)*المدخلات!$C$55:$C$62/(المدخلات!$E$55:$E$62+(المدخلات!$E$55:$E$62=0)))</f>
        <v>88333.333333333328</v>
      </c>
      <c r="E54" s="34">
        <f>SUMPRODUCT((المدخلات!$D$55:$D$62="أصل")*(المدخلات!$E$55:$E$62&gt;=2)*المدخلات!$C$55:$C$62/(المدخلات!$E$55:$E$62+(المدخلات!$E$55:$E$62=0)))</f>
        <v>88333.333333333328</v>
      </c>
      <c r="F54" s="34">
        <f>SUMPRODUCT((المدخلات!$D$55:$D$62="أصل")*(المدخلات!$E$55:$E$62&gt;=3)*المدخلات!$C$55:$C$62/(المدخلات!$E$55:$E$62+(المدخلات!$E$55:$E$62=0)))</f>
        <v>88333.333333333328</v>
      </c>
    </row>
    <row r="55" spans="2:6" ht="16.95" customHeight="1" x14ac:dyDescent="0.3">
      <c r="B55" s="35" t="s">
        <v>187</v>
      </c>
      <c r="C55" s="36">
        <f>C53-C54</f>
        <v>-65000</v>
      </c>
      <c r="D55" s="36">
        <f>D53-D54</f>
        <v>52464.666666666672</v>
      </c>
      <c r="E55" s="36">
        <f>E53-E54</f>
        <v>216159.44666666648</v>
      </c>
      <c r="F55" s="36">
        <f>F53-F54</f>
        <v>373575.754686667</v>
      </c>
    </row>
    <row r="56" spans="2:6" ht="16.95" customHeight="1" x14ac:dyDescent="0.3">
      <c r="B56" s="5" t="s">
        <v>188</v>
      </c>
      <c r="C56" s="42">
        <f>'التدفق النقدي'!C35</f>
        <v>0</v>
      </c>
      <c r="D56" s="42">
        <f>'التدفق النقدي'!D35</f>
        <v>20000</v>
      </c>
      <c r="E56" s="42">
        <f>'التدفق النقدي'!E35</f>
        <v>16590.87090866327</v>
      </c>
      <c r="F56" s="42">
        <f>'التدفق النقدي'!F35</f>
        <v>12909.011490019597</v>
      </c>
    </row>
    <row r="57" spans="2:6" ht="16.95" customHeight="1" x14ac:dyDescent="0.3">
      <c r="B57" s="37" t="s">
        <v>189</v>
      </c>
      <c r="C57" s="38">
        <f>C55-C56</f>
        <v>-65000</v>
      </c>
      <c r="D57" s="38">
        <f>D55-D56</f>
        <v>32464.666666666672</v>
      </c>
      <c r="E57" s="38">
        <f>E55-E56</f>
        <v>199568.57575800322</v>
      </c>
      <c r="F57" s="38">
        <f>F55-F56</f>
        <v>360666.74319664738</v>
      </c>
    </row>
    <row r="58" spans="2:6" ht="16.95" customHeight="1" x14ac:dyDescent="0.3"/>
    <row r="59" spans="2:6" ht="19.95" customHeight="1" x14ac:dyDescent="0.3">
      <c r="B59" s="25" t="s">
        <v>164</v>
      </c>
      <c r="C59" s="26"/>
      <c r="D59" s="26"/>
      <c r="E59" s="26"/>
      <c r="F59" s="26"/>
    </row>
    <row r="60" spans="2:6" ht="16.95" customHeight="1" x14ac:dyDescent="0.3">
      <c r="B60" s="43" t="s">
        <v>190</v>
      </c>
      <c r="C60" s="44">
        <f>0</f>
        <v>0</v>
      </c>
      <c r="D60" s="44">
        <f>C64</f>
        <v>65000</v>
      </c>
      <c r="E60" s="44">
        <f>D64</f>
        <v>40651.5</v>
      </c>
      <c r="F60" s="44">
        <f>E64</f>
        <v>0</v>
      </c>
    </row>
    <row r="61" spans="2:6" ht="16.95" customHeight="1" x14ac:dyDescent="0.3">
      <c r="B61" s="43" t="s">
        <v>191</v>
      </c>
      <c r="C61" s="44">
        <f>IF(C57&gt;0,MIN(C60,LossCap*C57),0)</f>
        <v>0</v>
      </c>
      <c r="D61" s="44">
        <f>IF(D57&gt;0,MIN(D60,LossCap*D57),0)</f>
        <v>24348.500000000004</v>
      </c>
      <c r="E61" s="44">
        <f>IF(E57&gt;0,MIN(E60,LossCap*E57),0)</f>
        <v>40651.5</v>
      </c>
      <c r="F61" s="44">
        <f>IF(F57&gt;0,MIN(F60,LossCap*F57),0)</f>
        <v>0</v>
      </c>
    </row>
    <row r="62" spans="2:6" ht="16.95" customHeight="1" x14ac:dyDescent="0.3">
      <c r="B62" s="43" t="s">
        <v>192</v>
      </c>
      <c r="C62" s="44">
        <f>MAX(0,C57-C61)</f>
        <v>0</v>
      </c>
      <c r="D62" s="44">
        <f>MAX(0,D57-D61)</f>
        <v>8116.1666666666679</v>
      </c>
      <c r="E62" s="44">
        <f>MAX(0,E57-E61)</f>
        <v>158917.07575800322</v>
      </c>
      <c r="F62" s="44">
        <f>MAX(0,F57-F61)</f>
        <v>360666.74319664738</v>
      </c>
    </row>
    <row r="63" spans="2:6" ht="16.95" customHeight="1" x14ac:dyDescent="0.3">
      <c r="B63" s="5" t="s">
        <v>164</v>
      </c>
      <c r="C63" s="34">
        <f>MAX(0,C62-TaxFree)*TaxRate</f>
        <v>0</v>
      </c>
      <c r="D63" s="34">
        <f>MAX(0,D62-TaxFree)*TaxRate</f>
        <v>0</v>
      </c>
      <c r="E63" s="34">
        <f>MAX(0,E62-TaxFree)*TaxRate</f>
        <v>0</v>
      </c>
      <c r="F63" s="34">
        <f>MAX(0,F62-TaxFree)*TaxRate</f>
        <v>0</v>
      </c>
    </row>
    <row r="64" spans="2:6" ht="16.95" customHeight="1" x14ac:dyDescent="0.3">
      <c r="B64" s="43" t="s">
        <v>193</v>
      </c>
      <c r="C64" s="44">
        <f>C60-C61+MAX(0,-C57)</f>
        <v>65000</v>
      </c>
      <c r="D64" s="44">
        <f>D60-D61+MAX(0,-D57)</f>
        <v>40651.5</v>
      </c>
      <c r="E64" s="44">
        <f>E60-E61+MAX(0,-E57)</f>
        <v>0</v>
      </c>
      <c r="F64" s="44">
        <f>F60-F61+MAX(0,-F57)</f>
        <v>0</v>
      </c>
    </row>
    <row r="65" spans="2:6" ht="16.95" customHeight="1" x14ac:dyDescent="0.3"/>
    <row r="66" spans="2:6" ht="16.95" customHeight="1" x14ac:dyDescent="0.3">
      <c r="B66" s="45" t="s">
        <v>158</v>
      </c>
      <c r="C66" s="46">
        <f>C57-C63</f>
        <v>-65000</v>
      </c>
      <c r="D66" s="46">
        <f>D57-D63</f>
        <v>32464.666666666672</v>
      </c>
      <c r="E66" s="46">
        <f>E57-E63</f>
        <v>199568.57575800322</v>
      </c>
      <c r="F66" s="46">
        <f>F57-F63</f>
        <v>360666.74319664738</v>
      </c>
    </row>
    <row r="67" spans="2:6" ht="16.95" customHeight="1" x14ac:dyDescent="0.3">
      <c r="B67" s="39" t="s">
        <v>165</v>
      </c>
      <c r="C67" s="40" t="str">
        <f>IF(C18=0,"",C66/C18)</f>
        <v/>
      </c>
      <c r="D67" s="40">
        <f>IF(D18=0,"",D66/D18)</f>
        <v>1.877655677655678E-2</v>
      </c>
      <c r="E67" s="40">
        <f>IF(E18=0,"",E66/E18)</f>
        <v>9.6766667729200381E-2</v>
      </c>
      <c r="F67" s="40">
        <f>IF(F18=0,"",F66/F18)</f>
        <v>0.1531620120009885</v>
      </c>
    </row>
  </sheetData>
  <sheetProtection sheet="1" formatCells="0" formatColumns="0" formatRows="0"/>
  <conditionalFormatting sqref="C6:F67">
    <cfRule type="expression" dxfId="8" priority="1">
      <formula>AND(ISNUMBER(C6),C6&lt;0)</formula>
    </cfRule>
  </conditionalFormatting>
  <printOptions horizontalCentered="1"/>
  <pageMargins left="0.4" right="0.4" top="0.5" bottom="0.5" header="0.25" footer="0.25"/>
  <pageSetup paperSize="9" orientation="portrait"/>
  <headerFooter>
    <oddFooter>&amp;L&amp;7 &amp;K6A727Cصفحة &amp;P من &amp;N&amp;R&amp;7 &amp;K6A727Cنموذج: شوق للتدريب المؤسسي · training.shogconsulting.com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071BA"/>
    <pageSetUpPr fitToPage="1"/>
  </sheetPr>
  <dimension ref="A1:F49"/>
  <sheetViews>
    <sheetView showGridLines="0" rightToLeft="1" workbookViewId="0">
      <pane xSplit="2" ySplit="4" topLeftCell="C5" activePane="bottomRight" state="frozen"/>
      <selection pane="topRight"/>
      <selection pane="bottomLeft"/>
      <selection pane="bottomRight"/>
    </sheetView>
  </sheetViews>
  <sheetFormatPr defaultRowHeight="14.4" x14ac:dyDescent="0.3"/>
  <cols>
    <col min="1" max="1" width="2" customWidth="1"/>
    <col min="2" max="2" width="50" customWidth="1"/>
    <col min="3" max="6" width="16" customWidth="1"/>
    <col min="7" max="7" width="2" customWidth="1"/>
  </cols>
  <sheetData>
    <row r="1" spans="1:6" ht="30" customHeight="1" x14ac:dyDescent="0.3">
      <c r="A1" s="10" t="s">
        <v>10</v>
      </c>
    </row>
    <row r="2" spans="1:6" ht="19.95" customHeight="1" x14ac:dyDescent="0.3">
      <c r="A2" s="11" t="s">
        <v>194</v>
      </c>
      <c r="B2" s="12"/>
      <c r="C2" s="12"/>
      <c r="D2" s="12"/>
      <c r="E2" s="12"/>
      <c r="F2" s="12"/>
    </row>
    <row r="4" spans="1:6" ht="30" customHeight="1" x14ac:dyDescent="0.3">
      <c r="B4" s="32" t="str">
        <f>Currency&amp;"، دون ضريبة القيمة المضافة"</f>
        <v>درهم، دون ضريبة القيمة المضافة</v>
      </c>
      <c r="C4" s="27" t="s">
        <v>151</v>
      </c>
      <c r="D4" s="16" t="str">
        <f>"السنة 1 ("&amp;(FirstYear+0)&amp;")"</f>
        <v>السنة 1 (2027)</v>
      </c>
      <c r="E4" s="16" t="str">
        <f>"السنة 2 ("&amp;(FirstYear+1)&amp;")"</f>
        <v>السنة 2 (2028)</v>
      </c>
      <c r="F4" s="16" t="str">
        <f>"السنة 3 ("&amp;(FirstYear+2)&amp;")"</f>
        <v>السنة 3 (2029)</v>
      </c>
    </row>
    <row r="5" spans="1:6" ht="16.95" customHeight="1" x14ac:dyDescent="0.3">
      <c r="B5" s="25" t="s">
        <v>195</v>
      </c>
      <c r="C5" s="26"/>
      <c r="D5" s="26"/>
      <c r="E5" s="26"/>
      <c r="F5" s="26"/>
    </row>
    <row r="6" spans="1:6" ht="16.95" customHeight="1" x14ac:dyDescent="0.3">
      <c r="B6" s="5" t="s">
        <v>158</v>
      </c>
      <c r="C6" s="42">
        <f>'قائمة الدخل'!C66</f>
        <v>-65000</v>
      </c>
      <c r="D6" s="42">
        <f>'قائمة الدخل'!D66</f>
        <v>32464.666666666672</v>
      </c>
      <c r="E6" s="42">
        <f>'قائمة الدخل'!E66</f>
        <v>199568.57575800322</v>
      </c>
      <c r="F6" s="42">
        <f>'قائمة الدخل'!F66</f>
        <v>360666.74319664738</v>
      </c>
    </row>
    <row r="7" spans="1:6" ht="16.95" customHeight="1" x14ac:dyDescent="0.3">
      <c r="B7" s="5" t="s">
        <v>196</v>
      </c>
      <c r="C7" s="42">
        <f>'قائمة الدخل'!C54</f>
        <v>0</v>
      </c>
      <c r="D7" s="42">
        <f>'قائمة الدخل'!D54</f>
        <v>88333.333333333328</v>
      </c>
      <c r="E7" s="42">
        <f>'قائمة الدخل'!E54</f>
        <v>88333.333333333328</v>
      </c>
      <c r="F7" s="42">
        <f>'قائمة الدخل'!F54</f>
        <v>88333.333333333328</v>
      </c>
    </row>
    <row r="8" spans="1:6" ht="16.95" customHeight="1" x14ac:dyDescent="0.3">
      <c r="B8" s="5" t="s">
        <v>197</v>
      </c>
      <c r="C8" s="34">
        <f>-C30</f>
        <v>0</v>
      </c>
      <c r="D8" s="34">
        <f>-D30</f>
        <v>8063.0136986301368</v>
      </c>
      <c r="E8" s="34">
        <f>-E30</f>
        <v>1655.2479452054831</v>
      </c>
      <c r="F8" s="34">
        <f>-F30</f>
        <v>1504.4181410958845</v>
      </c>
    </row>
    <row r="9" spans="1:6" ht="16.95" customHeight="1" x14ac:dyDescent="0.3">
      <c r="B9" s="47" t="s">
        <v>195</v>
      </c>
      <c r="C9" s="36">
        <f>SUM(C6:C8)</f>
        <v>-65000</v>
      </c>
      <c r="D9" s="36">
        <f>SUM(D6:D8)</f>
        <v>128861.01369863014</v>
      </c>
      <c r="E9" s="36">
        <f>SUM(E6:E8)</f>
        <v>289557.15703654202</v>
      </c>
      <c r="F9" s="36">
        <f>SUM(F6:F8)</f>
        <v>450504.49467107659</v>
      </c>
    </row>
    <row r="10" spans="1:6" ht="16.95" customHeight="1" x14ac:dyDescent="0.3"/>
    <row r="11" spans="1:6" ht="16.95" customHeight="1" x14ac:dyDescent="0.3">
      <c r="B11" s="25" t="s">
        <v>198</v>
      </c>
      <c r="C11" s="26"/>
      <c r="D11" s="26"/>
      <c r="E11" s="26"/>
      <c r="F11" s="26"/>
    </row>
    <row r="12" spans="1:6" ht="16.95" customHeight="1" x14ac:dyDescent="0.3">
      <c r="B12" s="5" t="s">
        <v>199</v>
      </c>
      <c r="C12" s="34">
        <f>-(SUMIF(المدخلات!$D$55:$D$62,"أصل",المدخلات!$C$55:$C$62)+SUMIF(المدخلات!$D$55:$D$62,"وديعة",المدخلات!$C$55:$C$62))</f>
        <v>-443000</v>
      </c>
      <c r="D12" s="34">
        <f>0</f>
        <v>0</v>
      </c>
      <c r="E12" s="34">
        <f>0</f>
        <v>0</v>
      </c>
      <c r="F12" s="34">
        <f>0</f>
        <v>0</v>
      </c>
    </row>
    <row r="13" spans="1:6" ht="16.95" customHeight="1" x14ac:dyDescent="0.3"/>
    <row r="14" spans="1:6" ht="16.95" customHeight="1" x14ac:dyDescent="0.3">
      <c r="B14" s="25" t="s">
        <v>120</v>
      </c>
      <c r="C14" s="26"/>
      <c r="D14" s="26"/>
      <c r="E14" s="26"/>
      <c r="F14" s="26"/>
    </row>
    <row r="15" spans="1:6" ht="16.95" customHeight="1" x14ac:dyDescent="0.3">
      <c r="B15" s="5" t="s">
        <v>121</v>
      </c>
      <c r="C15" s="42">
        <f>Equity</f>
        <v>350000</v>
      </c>
      <c r="D15" s="34">
        <f>0</f>
        <v>0</v>
      </c>
      <c r="E15" s="34">
        <f>0</f>
        <v>0</v>
      </c>
      <c r="F15" s="34">
        <f>0</f>
        <v>0</v>
      </c>
    </row>
    <row r="16" spans="1:6" ht="16.95" customHeight="1" x14ac:dyDescent="0.3">
      <c r="B16" s="5" t="s">
        <v>200</v>
      </c>
      <c r="C16" s="42">
        <f>Loan</f>
        <v>250000</v>
      </c>
      <c r="D16" s="34">
        <f>0</f>
        <v>0</v>
      </c>
      <c r="E16" s="34">
        <f>0</f>
        <v>0</v>
      </c>
      <c r="F16" s="34">
        <f>0</f>
        <v>0</v>
      </c>
    </row>
    <row r="17" spans="2:6" ht="16.95" customHeight="1" x14ac:dyDescent="0.3">
      <c r="B17" s="5" t="s">
        <v>201</v>
      </c>
      <c r="C17" s="34">
        <f>-C36</f>
        <v>0</v>
      </c>
      <c r="D17" s="34">
        <f>-D36</f>
        <v>-42614.113641709147</v>
      </c>
      <c r="E17" s="34">
        <f>-E36</f>
        <v>-46023.242733045874</v>
      </c>
      <c r="F17" s="34">
        <f>-F36</f>
        <v>-49705.102151689549</v>
      </c>
    </row>
    <row r="18" spans="2:6" ht="16.95" customHeight="1" x14ac:dyDescent="0.3">
      <c r="B18" s="47" t="s">
        <v>202</v>
      </c>
      <c r="C18" s="36">
        <f>SUM(C15:C17)</f>
        <v>600000</v>
      </c>
      <c r="D18" s="36">
        <f>SUM(D15:D17)</f>
        <v>-42614.113641709147</v>
      </c>
      <c r="E18" s="36">
        <f>SUM(E15:E17)</f>
        <v>-46023.242733045874</v>
      </c>
      <c r="F18" s="36">
        <f>SUM(F15:F17)</f>
        <v>-49705.102151689549</v>
      </c>
    </row>
    <row r="19" spans="2:6" ht="16.95" customHeight="1" x14ac:dyDescent="0.3"/>
    <row r="20" spans="2:6" ht="16.95" customHeight="1" x14ac:dyDescent="0.3">
      <c r="B20" s="37" t="s">
        <v>203</v>
      </c>
      <c r="C20" s="38">
        <f>C9+C12+C18</f>
        <v>92000</v>
      </c>
      <c r="D20" s="38">
        <f>D9+D12+D18</f>
        <v>86246.900056920989</v>
      </c>
      <c r="E20" s="38">
        <f>E9+E12+E18</f>
        <v>243533.91430349613</v>
      </c>
      <c r="F20" s="38">
        <f>F9+F12+F18</f>
        <v>400799.39251938707</v>
      </c>
    </row>
    <row r="21" spans="2:6" ht="16.95" customHeight="1" x14ac:dyDescent="0.3">
      <c r="B21" s="5" t="s">
        <v>204</v>
      </c>
      <c r="C21" s="34">
        <f>0</f>
        <v>0</v>
      </c>
      <c r="D21" s="34">
        <f>C22</f>
        <v>92000</v>
      </c>
      <c r="E21" s="34">
        <f>D22</f>
        <v>178246.900056921</v>
      </c>
      <c r="F21" s="34">
        <f>E22</f>
        <v>421780.81436041713</v>
      </c>
    </row>
    <row r="22" spans="2:6" ht="16.95" customHeight="1" x14ac:dyDescent="0.3">
      <c r="B22" s="37" t="s">
        <v>166</v>
      </c>
      <c r="C22" s="38">
        <f>C21+C20</f>
        <v>92000</v>
      </c>
      <c r="D22" s="38">
        <f>D21+D20</f>
        <v>178246.900056921</v>
      </c>
      <c r="E22" s="38">
        <f>E21+E20</f>
        <v>421780.81436041713</v>
      </c>
      <c r="F22" s="38">
        <f>F21+F20</f>
        <v>822580.20687980414</v>
      </c>
    </row>
    <row r="23" spans="2:6" ht="16.95" customHeight="1" x14ac:dyDescent="0.3">
      <c r="B23" s="5" t="s">
        <v>205</v>
      </c>
      <c r="C23" s="48" t="str">
        <f>IF(C22&lt;MinCash,"دون الحد الأدنى","سليم")</f>
        <v>سليم</v>
      </c>
      <c r="D23" s="48" t="str">
        <f>IF(D22&lt;MinCash,"دون الحد الأدنى","سليم")</f>
        <v>سليم</v>
      </c>
      <c r="E23" s="48" t="str">
        <f>IF(E22&lt;MinCash,"دون الحد الأدنى","سليم")</f>
        <v>سليم</v>
      </c>
      <c r="F23" s="48" t="str">
        <f>IF(F22&lt;MinCash,"دون الحد الأدنى","سليم")</f>
        <v>سليم</v>
      </c>
    </row>
    <row r="24" spans="2:6" ht="16.95" customHeight="1" x14ac:dyDescent="0.3"/>
    <row r="25" spans="2:6" ht="16.95" customHeight="1" x14ac:dyDescent="0.3">
      <c r="B25" s="25" t="s">
        <v>206</v>
      </c>
      <c r="C25" s="26"/>
      <c r="D25" s="26"/>
      <c r="E25" s="26"/>
      <c r="F25" s="26"/>
    </row>
    <row r="26" spans="2:6" ht="16.95" customHeight="1" x14ac:dyDescent="0.3">
      <c r="B26" s="5" t="s">
        <v>207</v>
      </c>
      <c r="C26" s="34">
        <f>0</f>
        <v>0</v>
      </c>
      <c r="D26" s="34">
        <f>'قائمة الدخل'!D18*DebtorDays/365</f>
        <v>14210.95890410959</v>
      </c>
      <c r="E26" s="34">
        <f>'قائمة الدخل'!E18*DebtorDays/365</f>
        <v>16950.978082191778</v>
      </c>
      <c r="F26" s="34">
        <f>'قائمة الدخل'!F18*DebtorDays/365</f>
        <v>19354.565482191781</v>
      </c>
    </row>
    <row r="27" spans="2:6" ht="16.95" customHeight="1" x14ac:dyDescent="0.3">
      <c r="B27" s="5" t="s">
        <v>208</v>
      </c>
      <c r="C27" s="34">
        <f>0</f>
        <v>0</v>
      </c>
      <c r="D27" s="34">
        <f>SUM('قائمة الدخل'!D21:D25)*StockDays/365</f>
        <v>22273.972602739726</v>
      </c>
      <c r="E27" s="34">
        <f>SUM('قائمة الدخل'!E21:E25)*StockDays/365</f>
        <v>26669.239726027394</v>
      </c>
      <c r="F27" s="34">
        <f>SUM('قائمة الدخل'!F21:F25)*StockDays/365</f>
        <v>30577.245267123286</v>
      </c>
    </row>
    <row r="28" spans="2:6" ht="16.95" customHeight="1" x14ac:dyDescent="0.3">
      <c r="B28" s="5" t="s">
        <v>209</v>
      </c>
      <c r="C28" s="34">
        <f>0</f>
        <v>0</v>
      </c>
      <c r="D28" s="34">
        <f>SUM('قائمة الدخل'!D21:D25)*CreditorDays/365</f>
        <v>44547.945205479453</v>
      </c>
      <c r="E28" s="34">
        <f>SUM('قائمة الدخل'!E21:E25)*CreditorDays/365</f>
        <v>53338.479452054788</v>
      </c>
      <c r="F28" s="34">
        <f>SUM('قائمة الدخل'!F21:F25)*CreditorDays/365</f>
        <v>61154.490534246572</v>
      </c>
    </row>
    <row r="29" spans="2:6" ht="16.95" customHeight="1" x14ac:dyDescent="0.3">
      <c r="B29" s="47" t="s">
        <v>206</v>
      </c>
      <c r="C29" s="36">
        <f>C26+C27-C28</f>
        <v>0</v>
      </c>
      <c r="D29" s="36">
        <f>D26+D27-D28</f>
        <v>-8063.0136986301368</v>
      </c>
      <c r="E29" s="36">
        <f>E26+E27-E28</f>
        <v>-9718.2616438356199</v>
      </c>
      <c r="F29" s="36">
        <f>F26+F27-F28</f>
        <v>-11222.679784931504</v>
      </c>
    </row>
    <row r="30" spans="2:6" ht="16.95" customHeight="1" x14ac:dyDescent="0.3">
      <c r="B30" s="5" t="s">
        <v>210</v>
      </c>
      <c r="C30" s="34">
        <f>C29</f>
        <v>0</v>
      </c>
      <c r="D30" s="34">
        <f>D29-C29</f>
        <v>-8063.0136986301368</v>
      </c>
      <c r="E30" s="34">
        <f>E29-D29</f>
        <v>-1655.2479452054831</v>
      </c>
      <c r="F30" s="34">
        <f>F29-E29</f>
        <v>-1504.4181410958845</v>
      </c>
    </row>
    <row r="31" spans="2:6" ht="16.95" customHeight="1" x14ac:dyDescent="0.3"/>
    <row r="32" spans="2:6" ht="16.95" customHeight="1" x14ac:dyDescent="0.3">
      <c r="B32" s="25" t="s">
        <v>211</v>
      </c>
      <c r="C32" s="26"/>
      <c r="D32" s="26"/>
      <c r="E32" s="26"/>
      <c r="F32" s="26"/>
    </row>
    <row r="33" spans="2:6" ht="16.95" customHeight="1" x14ac:dyDescent="0.3">
      <c r="B33" s="5" t="s">
        <v>212</v>
      </c>
      <c r="C33" s="34">
        <f>0</f>
        <v>0</v>
      </c>
      <c r="D33" s="34">
        <f>C37</f>
        <v>250000</v>
      </c>
      <c r="E33" s="34">
        <f>D37</f>
        <v>207385.88635829085</v>
      </c>
      <c r="F33" s="34">
        <f>E37</f>
        <v>161362.64362524496</v>
      </c>
    </row>
    <row r="34" spans="2:6" ht="16.95" customHeight="1" x14ac:dyDescent="0.3">
      <c r="B34" s="5" t="s">
        <v>213</v>
      </c>
      <c r="C34" s="42">
        <f>Loan</f>
        <v>250000</v>
      </c>
      <c r="D34" s="34">
        <f>0</f>
        <v>0</v>
      </c>
      <c r="E34" s="34">
        <f>0</f>
        <v>0</v>
      </c>
      <c r="F34" s="34">
        <f>0</f>
        <v>0</v>
      </c>
    </row>
    <row r="35" spans="2:6" ht="16.95" customHeight="1" x14ac:dyDescent="0.3">
      <c r="B35" s="5" t="s">
        <v>214</v>
      </c>
      <c r="C35" s="34">
        <f>C33*LoanRate</f>
        <v>0</v>
      </c>
      <c r="D35" s="34">
        <f>D33*LoanRate</f>
        <v>20000</v>
      </c>
      <c r="E35" s="34">
        <f>E33*LoanRate</f>
        <v>16590.87090866327</v>
      </c>
      <c r="F35" s="34">
        <f>F33*LoanRate</f>
        <v>12909.011490019597</v>
      </c>
    </row>
    <row r="36" spans="2:6" ht="16.95" customHeight="1" x14ac:dyDescent="0.3">
      <c r="B36" s="5" t="s">
        <v>215</v>
      </c>
      <c r="C36" s="34">
        <f>0</f>
        <v>0</v>
      </c>
      <c r="D36" s="34">
        <f>IF(D33&lt;=0,0,MIN(D33,MAX(0,IFERROR(PMT(LoanRate,LoanTerm,-Loan),D33)-D35)))</f>
        <v>42614.113641709147</v>
      </c>
      <c r="E36" s="34">
        <f>IF(E33&lt;=0,0,MIN(E33,MAX(0,IFERROR(PMT(LoanRate,LoanTerm,-Loan),E33)-E35)))</f>
        <v>46023.242733045874</v>
      </c>
      <c r="F36" s="34">
        <f>IF(F33&lt;=0,0,MIN(F33,MAX(0,IFERROR(PMT(LoanRate,LoanTerm,-Loan),F33)-F35)))</f>
        <v>49705.102151689549</v>
      </c>
    </row>
    <row r="37" spans="2:6" ht="16.95" customHeight="1" x14ac:dyDescent="0.3">
      <c r="B37" s="47" t="s">
        <v>216</v>
      </c>
      <c r="C37" s="36">
        <f>C33+C34-C36</f>
        <v>250000</v>
      </c>
      <c r="D37" s="36">
        <f>D33+D34-D36</f>
        <v>207385.88635829085</v>
      </c>
      <c r="E37" s="36">
        <f>E33+E34-E36</f>
        <v>161362.64362524496</v>
      </c>
      <c r="F37" s="36">
        <f>F33+F34-F36</f>
        <v>111657.54147355541</v>
      </c>
    </row>
    <row r="38" spans="2:6" ht="16.95" customHeight="1" x14ac:dyDescent="0.3"/>
    <row r="39" spans="2:6" ht="16.95" customHeight="1" x14ac:dyDescent="0.3">
      <c r="B39" s="25" t="s">
        <v>217</v>
      </c>
      <c r="C39" s="26"/>
      <c r="D39" s="26"/>
      <c r="E39" s="26"/>
      <c r="F39" s="26"/>
    </row>
    <row r="40" spans="2:6" ht="16.95" customHeight="1" x14ac:dyDescent="0.3">
      <c r="B40" s="5" t="s">
        <v>163</v>
      </c>
      <c r="C40" s="42">
        <f>'قائمة الدخل'!C53</f>
        <v>-65000</v>
      </c>
      <c r="D40" s="42">
        <f>'قائمة الدخل'!D53</f>
        <v>140798</v>
      </c>
      <c r="E40" s="42">
        <f>'قائمة الدخل'!E53</f>
        <v>304492.7799999998</v>
      </c>
      <c r="F40" s="42">
        <f>'قائمة الدخل'!F53</f>
        <v>461909.08802000032</v>
      </c>
    </row>
    <row r="41" spans="2:6" ht="16.95" customHeight="1" x14ac:dyDescent="0.3">
      <c r="B41" s="5" t="s">
        <v>218</v>
      </c>
      <c r="C41" s="34">
        <f>-'قائمة الدخل'!C63</f>
        <v>0</v>
      </c>
      <c r="D41" s="34">
        <f>-'قائمة الدخل'!D63</f>
        <v>0</v>
      </c>
      <c r="E41" s="34">
        <f>-'قائمة الدخل'!E63</f>
        <v>0</v>
      </c>
      <c r="F41" s="34">
        <f>-'قائمة الدخل'!F63</f>
        <v>0</v>
      </c>
    </row>
    <row r="42" spans="2:6" ht="16.95" customHeight="1" x14ac:dyDescent="0.3">
      <c r="B42" s="5" t="s">
        <v>197</v>
      </c>
      <c r="C42" s="34">
        <f>-C30</f>
        <v>0</v>
      </c>
      <c r="D42" s="34">
        <f>-D30</f>
        <v>8063.0136986301368</v>
      </c>
      <c r="E42" s="34">
        <f>-E30</f>
        <v>1655.2479452054831</v>
      </c>
      <c r="F42" s="34">
        <f>-F30</f>
        <v>1504.4181410958845</v>
      </c>
    </row>
    <row r="43" spans="2:6" ht="16.95" customHeight="1" x14ac:dyDescent="0.3">
      <c r="B43" s="5" t="s">
        <v>219</v>
      </c>
      <c r="C43" s="34">
        <f>C12</f>
        <v>-443000</v>
      </c>
      <c r="D43" s="34">
        <f>D12</f>
        <v>0</v>
      </c>
      <c r="E43" s="34">
        <f>E12</f>
        <v>0</v>
      </c>
      <c r="F43" s="34">
        <f>F12</f>
        <v>0</v>
      </c>
    </row>
    <row r="44" spans="2:6" ht="16.95" customHeight="1" x14ac:dyDescent="0.3">
      <c r="B44" s="5" t="s">
        <v>220</v>
      </c>
      <c r="C44" s="34">
        <f>0</f>
        <v>0</v>
      </c>
      <c r="D44" s="34">
        <f>0</f>
        <v>0</v>
      </c>
      <c r="E44" s="34">
        <f>0</f>
        <v>0</v>
      </c>
      <c r="F44" s="42">
        <f>ExitValue</f>
        <v>0</v>
      </c>
    </row>
    <row r="45" spans="2:6" ht="16.95" customHeight="1" x14ac:dyDescent="0.3">
      <c r="B45" s="37" t="s">
        <v>221</v>
      </c>
      <c r="C45" s="38">
        <f>SUM(C40:C44)</f>
        <v>-508000</v>
      </c>
      <c r="D45" s="38">
        <f>SUM(D40:D44)</f>
        <v>148861.01369863015</v>
      </c>
      <c r="E45" s="38">
        <f>SUM(E40:E44)</f>
        <v>306148.02794520528</v>
      </c>
      <c r="F45" s="38">
        <f>SUM(F40:F44)</f>
        <v>463413.50616109621</v>
      </c>
    </row>
    <row r="46" spans="2:6" ht="16.95" customHeight="1" x14ac:dyDescent="0.3">
      <c r="B46" s="5" t="s">
        <v>222</v>
      </c>
      <c r="C46" s="34">
        <f>C45</f>
        <v>-508000</v>
      </c>
      <c r="D46" s="34">
        <f>C46+D45</f>
        <v>-359138.98630136985</v>
      </c>
      <c r="E46" s="34">
        <f>D46+E45</f>
        <v>-52990.95835616457</v>
      </c>
      <c r="F46" s="34">
        <f>E46+F45</f>
        <v>410422.54780493164</v>
      </c>
    </row>
    <row r="47" spans="2:6" ht="16.95" customHeight="1" x14ac:dyDescent="0.3">
      <c r="B47" s="5" t="s">
        <v>223</v>
      </c>
      <c r="D47" s="49" t="str">
        <f>IF(AND(C46&lt;0,D46&gt;=0),0+(-C46)/D45,"")</f>
        <v/>
      </c>
      <c r="E47" s="49" t="str">
        <f>IF(AND(D46&lt;0,E46&gt;=0),1+(-D46)/E45,"")</f>
        <v/>
      </c>
      <c r="F47" s="49">
        <f>IF(AND(E46&lt;0,F46&gt;=0),2+(-E46)/F45,"")</f>
        <v>2.1143491884713073</v>
      </c>
    </row>
    <row r="48" spans="2:6" ht="16.95" customHeight="1" x14ac:dyDescent="0.3">
      <c r="B48" s="5" t="s">
        <v>224</v>
      </c>
      <c r="C48" s="50">
        <f>1/(1+DiscountRate)^0</f>
        <v>1</v>
      </c>
      <c r="D48" s="50">
        <f>1/(1+DiscountRate)^1</f>
        <v>0.89285714285714279</v>
      </c>
      <c r="E48" s="50">
        <f>1/(1+DiscountRate)^2</f>
        <v>0.79719387755102034</v>
      </c>
      <c r="F48" s="50">
        <f>1/(1+DiscountRate)^3</f>
        <v>0.71178024781341087</v>
      </c>
    </row>
    <row r="49" spans="2:6" ht="16.95" customHeight="1" x14ac:dyDescent="0.3">
      <c r="B49" s="5" t="s">
        <v>225</v>
      </c>
      <c r="C49" s="34">
        <f>C45*C48</f>
        <v>-508000</v>
      </c>
      <c r="D49" s="34">
        <f>D45*D48</f>
        <v>132911.61937377692</v>
      </c>
      <c r="E49" s="34">
        <f>E45*E48</f>
        <v>244059.33350223632</v>
      </c>
      <c r="F49" s="34">
        <f>F45*F48</f>
        <v>329848.58025542664</v>
      </c>
    </row>
  </sheetData>
  <sheetProtection sheet="1" formatCells="0" formatColumns="0" formatRows="0"/>
  <conditionalFormatting sqref="C6:F49">
    <cfRule type="expression" dxfId="7" priority="3">
      <formula>AND(ISNUMBER(C6),C6&lt;0)</formula>
    </cfRule>
  </conditionalFormatting>
  <conditionalFormatting sqref="C23:F23">
    <cfRule type="expression" dxfId="6" priority="1">
      <formula>C23="دون الحد الأدنى"</formula>
    </cfRule>
    <cfRule type="expression" dxfId="5" priority="2">
      <formula>C23="سليم"</formula>
    </cfRule>
  </conditionalFormatting>
  <printOptions horizontalCentered="1"/>
  <pageMargins left="0.4" right="0.4" top="0.5" bottom="0.5" header="0.25" footer="0.25"/>
  <pageSetup paperSize="9" orientation="portrait"/>
  <headerFooter>
    <oddFooter>&amp;L&amp;7 &amp;K6A727Cصفحة &amp;P من &amp;N&amp;R&amp;7 &amp;K6A727Cنموذج: شوق للتدريب المؤسسي · training.shogconsulting.com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4071BA"/>
    <pageSetUpPr fitToPage="1"/>
  </sheetPr>
  <dimension ref="A1:M29"/>
  <sheetViews>
    <sheetView showGridLines="0" rightToLeft="1" workbookViewId="0"/>
  </sheetViews>
  <sheetFormatPr defaultRowHeight="14.4" x14ac:dyDescent="0.3"/>
  <cols>
    <col min="1" max="1" width="2" customWidth="1"/>
    <col min="2" max="2" width="50" customWidth="1"/>
    <col min="3" max="5" width="16" customWidth="1"/>
    <col min="6" max="6" width="3" customWidth="1"/>
    <col min="7" max="13" width="12" customWidth="1"/>
  </cols>
  <sheetData>
    <row r="1" spans="1:13" ht="30" customHeight="1" x14ac:dyDescent="0.3">
      <c r="A1" s="10" t="s">
        <v>12</v>
      </c>
    </row>
    <row r="2" spans="1:13" ht="19.95" customHeight="1" x14ac:dyDescent="0.3">
      <c r="A2" s="11" t="s">
        <v>226</v>
      </c>
      <c r="B2" s="12"/>
      <c r="C2" s="12"/>
      <c r="D2" s="12"/>
      <c r="E2" s="12"/>
      <c r="F2" s="12"/>
      <c r="G2" s="12"/>
      <c r="H2" s="12"/>
      <c r="I2" s="12"/>
      <c r="J2" s="12"/>
      <c r="K2" s="12"/>
      <c r="L2" s="12"/>
      <c r="M2" s="12"/>
    </row>
    <row r="4" spans="1:13" ht="30" customHeight="1" x14ac:dyDescent="0.3">
      <c r="B4" s="32" t="str">
        <f>Currency&amp;"، دون ضريبة القيمة المضافة"</f>
        <v>درهم، دون ضريبة القيمة المضافة</v>
      </c>
      <c r="C4" s="16" t="str">
        <f>"السنة 1 ("&amp;(FirstYear+0)&amp;")"</f>
        <v>السنة 1 (2027)</v>
      </c>
      <c r="D4" s="16" t="str">
        <f>"السنة 2 ("&amp;(FirstYear+1)&amp;")"</f>
        <v>السنة 2 (2028)</v>
      </c>
      <c r="E4" s="16" t="str">
        <f>"السنة 3 ("&amp;(FirstYear+2)&amp;")"</f>
        <v>السنة 3 (2029)</v>
      </c>
    </row>
    <row r="5" spans="1:13" ht="18" customHeight="1" x14ac:dyDescent="0.3">
      <c r="B5" s="13" t="s">
        <v>152</v>
      </c>
      <c r="C5" s="42">
        <f>'قائمة الدخل'!D18</f>
        <v>1729000</v>
      </c>
      <c r="D5" s="42">
        <f>'قائمة الدخل'!E18</f>
        <v>2062368.9999999995</v>
      </c>
      <c r="E5" s="42">
        <f>'قائمة الدخل'!F18</f>
        <v>2354805.4670000002</v>
      </c>
    </row>
    <row r="6" spans="1:13" ht="18" customHeight="1" x14ac:dyDescent="0.3">
      <c r="B6" s="13" t="s">
        <v>227</v>
      </c>
      <c r="C6" s="42">
        <f>'قائمة الدخل'!D27</f>
        <v>611160</v>
      </c>
      <c r="D6" s="42">
        <f>'قائمة الدخل'!E27</f>
        <v>731446.25999999989</v>
      </c>
      <c r="E6" s="42">
        <f>'قائمة الدخل'!F27</f>
        <v>838238.52017999999</v>
      </c>
    </row>
    <row r="7" spans="1:13" ht="18" customHeight="1" x14ac:dyDescent="0.3">
      <c r="B7" s="13" t="s">
        <v>228</v>
      </c>
      <c r="C7" s="34">
        <f>C5-C6</f>
        <v>1117840</v>
      </c>
      <c r="D7" s="34">
        <f>D5-D6</f>
        <v>1330922.7399999998</v>
      </c>
      <c r="E7" s="34">
        <f>E5-E6</f>
        <v>1516566.9468200002</v>
      </c>
    </row>
    <row r="8" spans="1:13" ht="18" customHeight="1" x14ac:dyDescent="0.3">
      <c r="B8" s="13" t="s">
        <v>229</v>
      </c>
      <c r="C8" s="51">
        <f>IF(C5=0,"",C7/C5)</f>
        <v>0.64652400231347595</v>
      </c>
      <c r="D8" s="51">
        <f>IF(D5=0,"",D7/D5)</f>
        <v>0.64533686260800083</v>
      </c>
      <c r="E8" s="51">
        <f>IF(E5=0,"",E7/E5)</f>
        <v>0.64403067177862983</v>
      </c>
    </row>
    <row r="9" spans="1:13" ht="18" customHeight="1" x14ac:dyDescent="0.3">
      <c r="B9" s="13" t="s">
        <v>230</v>
      </c>
      <c r="C9" s="34">
        <f>'قائمة الدخل'!D37+'قائمة الدخل'!D51+'قائمة الدخل'!D54+'قائمة الدخل'!D56</f>
        <v>1085375.3333333333</v>
      </c>
      <c r="D9" s="34">
        <f>'قائمة الدخل'!E37+'قائمة الدخل'!E51+'قائمة الدخل'!E54+'قائمة الدخل'!E56</f>
        <v>1131354.1642419966</v>
      </c>
      <c r="E9" s="34">
        <f>'قائمة الدخل'!F37+'قائمة الدخل'!F51+'قائمة الدخل'!F54+'قائمة الدخل'!F56</f>
        <v>1155900.2036233526</v>
      </c>
    </row>
    <row r="10" spans="1:13" ht="18" customHeight="1" x14ac:dyDescent="0.3">
      <c r="B10" s="52" t="s">
        <v>231</v>
      </c>
      <c r="C10" s="53">
        <f>IF(N(C8)&lt;=0,"غير ممكن",C9/C8)</f>
        <v>1678785.8292182542</v>
      </c>
      <c r="D10" s="53">
        <f>IF(N(D8)&lt;=0,"غير ممكن",D9/D8)</f>
        <v>1753121.8651757368</v>
      </c>
      <c r="E10" s="53">
        <f>IF(N(E8)&lt;=0,"غير ممكن",E9/E8)</f>
        <v>1794790.6121164765</v>
      </c>
    </row>
    <row r="11" spans="1:13" ht="18" customHeight="1" x14ac:dyDescent="0.3">
      <c r="B11" s="13" t="s">
        <v>157</v>
      </c>
      <c r="C11" s="34">
        <f>IF(ISNUMBER(C10),C10/12,"")</f>
        <v>139898.81910152119</v>
      </c>
      <c r="D11" s="34">
        <f>IF(ISNUMBER(D10),D10/12,"")</f>
        <v>146093.48876464475</v>
      </c>
      <c r="E11" s="34">
        <f>IF(ISNUMBER(E10),E10/12,"")</f>
        <v>149565.88434303971</v>
      </c>
    </row>
    <row r="12" spans="1:13" ht="18" customHeight="1" x14ac:dyDescent="0.3">
      <c r="B12" s="13" t="s">
        <v>232</v>
      </c>
      <c r="C12" s="34">
        <f>C5/12</f>
        <v>144083.33333333334</v>
      </c>
      <c r="D12" s="34">
        <f>D5/12</f>
        <v>171864.08333333328</v>
      </c>
      <c r="E12" s="34">
        <f>E5/12</f>
        <v>196233.78891666667</v>
      </c>
    </row>
    <row r="13" spans="1:13" ht="18" customHeight="1" x14ac:dyDescent="0.3">
      <c r="B13" s="52" t="s">
        <v>233</v>
      </c>
      <c r="C13" s="54">
        <f>IF(AND(ISNUMBER(C10),C5&gt;0),(C5-C10)/C5,"")</f>
        <v>2.9042319711825221E-2</v>
      </c>
      <c r="D13" s="54">
        <f>IF(AND(ISNUMBER(D10),D5&gt;0),(D5-D10)/D5,"")</f>
        <v>0.14994752870328382</v>
      </c>
      <c r="E13" s="54">
        <f>IF(AND(ISNUMBER(E10),E5&gt;0),(E5-E10)/E5,"")</f>
        <v>0.23781788463272818</v>
      </c>
    </row>
    <row r="15" spans="1:13" ht="19.95" customHeight="1" x14ac:dyDescent="0.3">
      <c r="B15" s="25" t="s">
        <v>234</v>
      </c>
      <c r="C15" s="26"/>
      <c r="D15" s="26"/>
      <c r="E15" s="26"/>
    </row>
    <row r="16" spans="1:13" ht="30" customHeight="1" x14ac:dyDescent="0.3">
      <c r="B16" s="55" t="s">
        <v>235</v>
      </c>
      <c r="C16" s="55" t="s">
        <v>152</v>
      </c>
      <c r="D16" s="55" t="s">
        <v>153</v>
      </c>
      <c r="E16" s="55" t="s">
        <v>236</v>
      </c>
    </row>
    <row r="17" spans="2:13" x14ac:dyDescent="0.3">
      <c r="B17" s="56">
        <v>0</v>
      </c>
      <c r="C17" s="57">
        <f t="shared" ref="C17:C27" si="0">$C$5*B17</f>
        <v>0</v>
      </c>
      <c r="D17" s="57">
        <f t="shared" ref="D17:D27" si="1">$C$9+$C$6*B17</f>
        <v>1085375.3333333333</v>
      </c>
      <c r="E17" s="57">
        <f t="shared" ref="E17:E27" si="2">$C$9</f>
        <v>1085375.3333333333</v>
      </c>
    </row>
    <row r="18" spans="2:13" x14ac:dyDescent="0.3">
      <c r="B18" s="56">
        <v>0.2</v>
      </c>
      <c r="C18" s="57">
        <f t="shared" si="0"/>
        <v>345800</v>
      </c>
      <c r="D18" s="57">
        <f t="shared" si="1"/>
        <v>1207607.3333333333</v>
      </c>
      <c r="E18" s="57">
        <f t="shared" si="2"/>
        <v>1085375.3333333333</v>
      </c>
    </row>
    <row r="19" spans="2:13" x14ac:dyDescent="0.3">
      <c r="B19" s="56">
        <v>0.4</v>
      </c>
      <c r="C19" s="57">
        <f t="shared" si="0"/>
        <v>691600</v>
      </c>
      <c r="D19" s="57">
        <f t="shared" si="1"/>
        <v>1329839.3333333333</v>
      </c>
      <c r="E19" s="57">
        <f t="shared" si="2"/>
        <v>1085375.3333333333</v>
      </c>
    </row>
    <row r="20" spans="2:13" x14ac:dyDescent="0.3">
      <c r="B20" s="56">
        <v>0.60000000000000009</v>
      </c>
      <c r="C20" s="57">
        <f t="shared" si="0"/>
        <v>1037400.0000000001</v>
      </c>
      <c r="D20" s="57">
        <f t="shared" si="1"/>
        <v>1452071.3333333333</v>
      </c>
      <c r="E20" s="57">
        <f t="shared" si="2"/>
        <v>1085375.3333333333</v>
      </c>
    </row>
    <row r="21" spans="2:13" x14ac:dyDescent="0.3">
      <c r="B21" s="56">
        <v>0.8</v>
      </c>
      <c r="C21" s="57">
        <f t="shared" si="0"/>
        <v>1383200</v>
      </c>
      <c r="D21" s="57">
        <f t="shared" si="1"/>
        <v>1574303.3333333333</v>
      </c>
      <c r="E21" s="57">
        <f t="shared" si="2"/>
        <v>1085375.3333333333</v>
      </c>
    </row>
    <row r="22" spans="2:13" x14ac:dyDescent="0.3">
      <c r="B22" s="56">
        <v>1</v>
      </c>
      <c r="C22" s="57">
        <f t="shared" si="0"/>
        <v>1729000</v>
      </c>
      <c r="D22" s="57">
        <f t="shared" si="1"/>
        <v>1696535.3333333333</v>
      </c>
      <c r="E22" s="57">
        <f t="shared" si="2"/>
        <v>1085375.3333333333</v>
      </c>
    </row>
    <row r="23" spans="2:13" x14ac:dyDescent="0.3">
      <c r="B23" s="56">
        <v>1.2</v>
      </c>
      <c r="C23" s="57">
        <f t="shared" si="0"/>
        <v>2074800</v>
      </c>
      <c r="D23" s="57">
        <f t="shared" si="1"/>
        <v>1818767.3333333333</v>
      </c>
      <c r="E23" s="57">
        <f t="shared" si="2"/>
        <v>1085375.3333333333</v>
      </c>
    </row>
    <row r="24" spans="2:13" x14ac:dyDescent="0.3">
      <c r="B24" s="56">
        <v>1.4</v>
      </c>
      <c r="C24" s="57">
        <f t="shared" si="0"/>
        <v>2420600</v>
      </c>
      <c r="D24" s="57">
        <f t="shared" si="1"/>
        <v>1940999.3333333333</v>
      </c>
      <c r="E24" s="57">
        <f t="shared" si="2"/>
        <v>1085375.3333333333</v>
      </c>
    </row>
    <row r="25" spans="2:13" x14ac:dyDescent="0.3">
      <c r="B25" s="56">
        <v>1.6</v>
      </c>
      <c r="C25" s="57">
        <f t="shared" si="0"/>
        <v>2766400</v>
      </c>
      <c r="D25" s="57">
        <f t="shared" si="1"/>
        <v>2063231.3333333333</v>
      </c>
      <c r="E25" s="57">
        <f t="shared" si="2"/>
        <v>1085375.3333333333</v>
      </c>
    </row>
    <row r="26" spans="2:13" x14ac:dyDescent="0.3">
      <c r="B26" s="56">
        <v>1.8</v>
      </c>
      <c r="C26" s="57">
        <f t="shared" si="0"/>
        <v>3112200</v>
      </c>
      <c r="D26" s="57">
        <f t="shared" si="1"/>
        <v>2185463.333333333</v>
      </c>
      <c r="E26" s="57">
        <f t="shared" si="2"/>
        <v>1085375.3333333333</v>
      </c>
    </row>
    <row r="27" spans="2:13" x14ac:dyDescent="0.3">
      <c r="B27" s="56">
        <v>2</v>
      </c>
      <c r="C27" s="57">
        <f t="shared" si="0"/>
        <v>3458000</v>
      </c>
      <c r="D27" s="57">
        <f t="shared" si="1"/>
        <v>2307695.333333333</v>
      </c>
      <c r="E27" s="57">
        <f t="shared" si="2"/>
        <v>1085375.3333333333</v>
      </c>
    </row>
    <row r="29" spans="2:13" ht="34.049999999999997" customHeight="1" x14ac:dyDescent="0.3">
      <c r="B29" s="80" t="s">
        <v>237</v>
      </c>
      <c r="C29" s="68"/>
      <c r="D29" s="68"/>
      <c r="E29" s="68"/>
      <c r="F29" s="68"/>
      <c r="G29" s="68"/>
      <c r="H29" s="68"/>
      <c r="I29" s="68"/>
      <c r="J29" s="68"/>
      <c r="K29" s="68"/>
      <c r="L29" s="68"/>
      <c r="M29" s="68"/>
    </row>
  </sheetData>
  <sheetProtection sheet="1" formatCells="0" formatColumns="0" formatRows="0"/>
  <mergeCells count="1">
    <mergeCell ref="B29:M29"/>
  </mergeCells>
  <conditionalFormatting sqref="C13:E13">
    <cfRule type="expression" dxfId="4" priority="1">
      <formula>AND(ISNUMBER(C13),C13&lt;0.1)</formula>
    </cfRule>
  </conditionalFormatting>
  <printOptions horizontalCentered="1"/>
  <pageMargins left="0.4" right="0.4" top="0.5" bottom="0.5" header="0.25" footer="0.25"/>
  <pageSetup paperSize="9" orientation="landscape"/>
  <headerFooter>
    <oddFooter>&amp;L&amp;7 &amp;K6A727Cصفحة &amp;P من &amp;N&amp;R&amp;7 &amp;K6A727Cنموذج: شوق للتدريب المؤسسي · training.shogconsulting.com</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071BA"/>
    <pageSetUpPr fitToPage="1"/>
  </sheetPr>
  <dimension ref="A1:I25"/>
  <sheetViews>
    <sheetView showGridLines="0" rightToLeft="1" workbookViewId="0"/>
  </sheetViews>
  <sheetFormatPr defaultRowHeight="14.4" x14ac:dyDescent="0.3"/>
  <cols>
    <col min="1" max="1" width="2" customWidth="1"/>
    <col min="2" max="2" width="34" customWidth="1"/>
    <col min="3" max="9" width="14" customWidth="1"/>
    <col min="10" max="10" width="3" customWidth="1"/>
  </cols>
  <sheetData>
    <row r="1" spans="1:9" ht="30" customHeight="1" x14ac:dyDescent="0.3">
      <c r="A1" s="10" t="s">
        <v>14</v>
      </c>
    </row>
    <row r="2" spans="1:9" ht="19.95" customHeight="1" x14ac:dyDescent="0.3">
      <c r="A2" s="11" t="s">
        <v>238</v>
      </c>
      <c r="B2" s="12"/>
      <c r="C2" s="12"/>
      <c r="D2" s="12"/>
      <c r="E2" s="12"/>
      <c r="F2" s="12"/>
      <c r="G2" s="12"/>
      <c r="H2" s="12"/>
      <c r="I2" s="12"/>
    </row>
    <row r="4" spans="1:9" ht="19.95" customHeight="1" x14ac:dyDescent="0.3">
      <c r="B4" s="58" t="s">
        <v>239</v>
      </c>
      <c r="C4" s="59">
        <v>1</v>
      </c>
      <c r="D4" s="83" t="s">
        <v>240</v>
      </c>
      <c r="E4" s="68"/>
      <c r="F4" s="68"/>
      <c r="G4" s="68"/>
      <c r="H4" s="68"/>
      <c r="I4" s="68"/>
    </row>
    <row r="6" spans="1:9" ht="19.95" customHeight="1" x14ac:dyDescent="0.3">
      <c r="B6" s="25" t="s">
        <v>189</v>
      </c>
      <c r="C6" s="26"/>
      <c r="D6" s="26"/>
      <c r="E6" s="26"/>
      <c r="F6" s="26"/>
      <c r="G6" s="26"/>
      <c r="H6" s="26"/>
      <c r="I6" s="26"/>
    </row>
    <row r="7" spans="1:9" ht="30" customHeight="1" x14ac:dyDescent="0.3">
      <c r="B7" s="60" t="s">
        <v>241</v>
      </c>
      <c r="C7" s="61">
        <v>-0.3</v>
      </c>
      <c r="D7" s="61">
        <v>-0.2</v>
      </c>
      <c r="E7" s="61">
        <v>-0.1</v>
      </c>
      <c r="F7" s="61">
        <v>0</v>
      </c>
      <c r="G7" s="61">
        <v>0.1</v>
      </c>
      <c r="H7" s="61">
        <v>0.2</v>
      </c>
      <c r="I7" s="61">
        <v>0.3</v>
      </c>
    </row>
    <row r="8" spans="1:9" ht="24" customHeight="1" x14ac:dyDescent="0.3">
      <c r="B8" s="61">
        <v>-0.2</v>
      </c>
      <c r="C8" s="62">
        <f t="shared" ref="C8:I12" si="0">$C$16*(1+$B8)*(1+C$7)*(1-$C$18)-$C$17*(1+C$7)-$C$19</f>
        <v>-535264.93333333335</v>
      </c>
      <c r="D8" s="62">
        <f t="shared" si="0"/>
        <v>-456677.7333333334</v>
      </c>
      <c r="E8" s="62">
        <f t="shared" si="0"/>
        <v>-378090.53333333321</v>
      </c>
      <c r="F8" s="62">
        <f t="shared" si="0"/>
        <v>-299503.33333333326</v>
      </c>
      <c r="G8" s="62">
        <f t="shared" si="0"/>
        <v>-220916.13333333307</v>
      </c>
      <c r="H8" s="62">
        <f t="shared" si="0"/>
        <v>-142328.93333333335</v>
      </c>
      <c r="I8" s="62">
        <f t="shared" si="0"/>
        <v>-63741.733333333395</v>
      </c>
    </row>
    <row r="9" spans="1:9" ht="24" customHeight="1" x14ac:dyDescent="0.3">
      <c r="B9" s="61">
        <v>-0.1</v>
      </c>
      <c r="C9" s="62">
        <f t="shared" si="0"/>
        <v>-419076.1333333333</v>
      </c>
      <c r="D9" s="62">
        <f t="shared" si="0"/>
        <v>-323890.53333333321</v>
      </c>
      <c r="E9" s="62">
        <f t="shared" si="0"/>
        <v>-228704.93333333335</v>
      </c>
      <c r="F9" s="62">
        <f t="shared" si="0"/>
        <v>-133519.33333333326</v>
      </c>
      <c r="G9" s="62">
        <f t="shared" si="0"/>
        <v>-38333.733333333163</v>
      </c>
      <c r="H9" s="62">
        <f t="shared" si="0"/>
        <v>56851.866666666698</v>
      </c>
      <c r="I9" s="62">
        <f t="shared" si="0"/>
        <v>152037.46666666656</v>
      </c>
    </row>
    <row r="10" spans="1:9" ht="24" customHeight="1" x14ac:dyDescent="0.3">
      <c r="B10" s="61">
        <v>0</v>
      </c>
      <c r="C10" s="62">
        <f t="shared" si="0"/>
        <v>-302887.33333333326</v>
      </c>
      <c r="D10" s="62">
        <f t="shared" si="0"/>
        <v>-191103.33333333326</v>
      </c>
      <c r="E10" s="62">
        <f t="shared" si="0"/>
        <v>-79319.333333333256</v>
      </c>
      <c r="F10" s="62">
        <f t="shared" si="0"/>
        <v>32464.666666666744</v>
      </c>
      <c r="G10" s="62">
        <f t="shared" si="0"/>
        <v>144248.66666666698</v>
      </c>
      <c r="H10" s="62">
        <f t="shared" si="0"/>
        <v>256032.66666666674</v>
      </c>
      <c r="I10" s="62">
        <f t="shared" si="0"/>
        <v>367816.66666666674</v>
      </c>
    </row>
    <row r="11" spans="1:9" ht="24" customHeight="1" x14ac:dyDescent="0.3">
      <c r="B11" s="61">
        <v>0.1</v>
      </c>
      <c r="C11" s="62">
        <f t="shared" si="0"/>
        <v>-186698.53333333321</v>
      </c>
      <c r="D11" s="62">
        <f t="shared" si="0"/>
        <v>-58316.133333333069</v>
      </c>
      <c r="E11" s="62">
        <f t="shared" si="0"/>
        <v>70066.266666666837</v>
      </c>
      <c r="F11" s="62">
        <f t="shared" si="0"/>
        <v>198448.66666666698</v>
      </c>
      <c r="G11" s="62">
        <f t="shared" si="0"/>
        <v>326831.06666666712</v>
      </c>
      <c r="H11" s="62">
        <f t="shared" si="0"/>
        <v>455213.46666666656</v>
      </c>
      <c r="I11" s="62">
        <f t="shared" si="0"/>
        <v>583595.86666666693</v>
      </c>
    </row>
    <row r="12" spans="1:9" ht="24" customHeight="1" x14ac:dyDescent="0.3">
      <c r="B12" s="61">
        <v>0.2</v>
      </c>
      <c r="C12" s="62">
        <f t="shared" si="0"/>
        <v>-70509.733333333395</v>
      </c>
      <c r="D12" s="62">
        <f t="shared" si="0"/>
        <v>74471.066666666651</v>
      </c>
      <c r="E12" s="62">
        <f t="shared" si="0"/>
        <v>219451.8666666667</v>
      </c>
      <c r="F12" s="62">
        <f t="shared" si="0"/>
        <v>364432.66666666674</v>
      </c>
      <c r="G12" s="62">
        <f t="shared" si="0"/>
        <v>509413.46666666656</v>
      </c>
      <c r="H12" s="62">
        <f t="shared" si="0"/>
        <v>654394.26666666684</v>
      </c>
      <c r="I12" s="62">
        <f t="shared" si="0"/>
        <v>799375.06666666665</v>
      </c>
    </row>
    <row r="15" spans="1:9" ht="19.95" customHeight="1" x14ac:dyDescent="0.3">
      <c r="B15" s="25" t="s">
        <v>242</v>
      </c>
      <c r="C15" s="26"/>
      <c r="D15" s="26"/>
    </row>
    <row r="16" spans="1:9" ht="18" customHeight="1" x14ac:dyDescent="0.3">
      <c r="B16" s="13" t="s">
        <v>152</v>
      </c>
      <c r="C16" s="34">
        <f>INDEX('قائمة الدخل'!$D$18:$F$18,$C$4)</f>
        <v>1729000</v>
      </c>
    </row>
    <row r="17" spans="2:9" ht="18" customHeight="1" x14ac:dyDescent="0.3">
      <c r="B17" s="13" t="s">
        <v>243</v>
      </c>
      <c r="C17" s="34">
        <f>INDEX('قائمة الدخل'!$D$27:$F$27,$C$4)-INDEX('قائمة الدخل'!$D$26:$F$26,$C$4)</f>
        <v>542000</v>
      </c>
    </row>
    <row r="18" spans="2:9" ht="18" customHeight="1" x14ac:dyDescent="0.3">
      <c r="B18" s="13" t="s">
        <v>244</v>
      </c>
      <c r="C18" s="63">
        <f>FeesPct</f>
        <v>0.04</v>
      </c>
    </row>
    <row r="19" spans="2:9" ht="18" customHeight="1" x14ac:dyDescent="0.3">
      <c r="B19" s="13" t="s">
        <v>236</v>
      </c>
      <c r="C19" s="34">
        <f>INDEX('نقطة التعادل'!$C$9:$E$9,$C$4)</f>
        <v>1085375.3333333333</v>
      </c>
      <c r="D19" s="83" t="s">
        <v>245</v>
      </c>
      <c r="E19" s="68"/>
      <c r="F19" s="68"/>
      <c r="G19" s="68"/>
      <c r="H19" s="68"/>
      <c r="I19" s="68"/>
    </row>
    <row r="21" spans="2:9" ht="19.95" customHeight="1" x14ac:dyDescent="0.3">
      <c r="B21" s="25" t="s">
        <v>246</v>
      </c>
      <c r="C21" s="26"/>
      <c r="D21" s="26"/>
      <c r="E21" s="26"/>
      <c r="F21" s="26"/>
      <c r="G21" s="26"/>
      <c r="H21" s="26"/>
      <c r="I21" s="26"/>
    </row>
    <row r="22" spans="2:9" ht="19.95" customHeight="1" x14ac:dyDescent="0.3">
      <c r="B22" s="58" t="s">
        <v>247</v>
      </c>
      <c r="C22" s="64">
        <f>IFERROR($C$19/($C$16*(1-$C$18)-$C$17),"")</f>
        <v>0.97095768028817475</v>
      </c>
      <c r="D22" s="83" t="s">
        <v>248</v>
      </c>
      <c r="E22" s="68"/>
      <c r="F22" s="68"/>
      <c r="G22" s="68"/>
      <c r="H22" s="68"/>
      <c r="I22" s="68"/>
    </row>
    <row r="23" spans="2:9" ht="19.95" customHeight="1" x14ac:dyDescent="0.3">
      <c r="B23" s="58" t="s">
        <v>249</v>
      </c>
      <c r="C23" s="64">
        <f>IFERROR(($C$19+$C$17)/($C$16*(1-$C$18)),"")</f>
        <v>0.98044108669108665</v>
      </c>
      <c r="D23" s="83" t="s">
        <v>250</v>
      </c>
      <c r="E23" s="68"/>
      <c r="F23" s="68"/>
      <c r="G23" s="68"/>
      <c r="H23" s="68"/>
      <c r="I23" s="68"/>
    </row>
    <row r="25" spans="2:9" ht="34.049999999999997" customHeight="1" x14ac:dyDescent="0.3">
      <c r="B25" s="80" t="s">
        <v>251</v>
      </c>
      <c r="C25" s="68"/>
      <c r="D25" s="68"/>
      <c r="E25" s="68"/>
      <c r="F25" s="68"/>
      <c r="G25" s="68"/>
      <c r="H25" s="68"/>
      <c r="I25" s="68"/>
    </row>
  </sheetData>
  <sheetProtection sheet="1" formatCells="0" formatColumns="0" formatRows="0"/>
  <mergeCells count="5">
    <mergeCell ref="D19:I19"/>
    <mergeCell ref="B25:I25"/>
    <mergeCell ref="D4:I4"/>
    <mergeCell ref="D22:I22"/>
    <mergeCell ref="D23:I23"/>
  </mergeCells>
  <conditionalFormatting sqref="C22:C23">
    <cfRule type="expression" dxfId="3" priority="4">
      <formula>AND(ISNUMBER(C22),C22&gt;0.9)</formula>
    </cfRule>
  </conditionalFormatting>
  <conditionalFormatting sqref="C8:I12">
    <cfRule type="expression" dxfId="2" priority="1">
      <formula>C8&lt;0</formula>
    </cfRule>
    <cfRule type="expression" dxfId="1" priority="2">
      <formula>C8&gt;=0</formula>
    </cfRule>
    <cfRule type="expression" dxfId="0" priority="3">
      <formula>AND($B8=0,C$7=0)</formula>
    </cfRule>
  </conditionalFormatting>
  <dataValidations count="1">
    <dataValidation type="list" allowBlank="1" showInputMessage="1" showErrorMessage="1" errorTitle="ليست في القائمة" error="اختر قيمة من القائمة." prompt="اختر السنة 1 أو 2 أو 3." sqref="C4" xr:uid="{00000000-0002-0000-0600-000000000000}">
      <formula1>"1,2,3"</formula1>
    </dataValidation>
  </dataValidations>
  <printOptions horizontalCentered="1"/>
  <pageMargins left="0.4" right="0.4" top="0.5" bottom="0.5" header="0.25" footer="0.25"/>
  <pageSetup paperSize="9" orientation="landscape"/>
  <headerFooter>
    <oddFooter>&amp;L&amp;7 &amp;K6A727Cصفحة &amp;P من &amp;N&amp;R&amp;7 &amp;K6A727Cنموذج: شوق للتدريب المؤسسي · training.shogconsulting.com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34</vt:i4>
      </vt:variant>
    </vt:vector>
  </HeadingPairs>
  <TitlesOfParts>
    <vt:vector size="41" baseType="lpstr">
      <vt:lpstr>ابدأ هنا</vt:lpstr>
      <vt:lpstr>المدخلات</vt:lpstr>
      <vt:lpstr>الملخص</vt:lpstr>
      <vt:lpstr>قائمة الدخل</vt:lpstr>
      <vt:lpstr>التدفق النقدي</vt:lpstr>
      <vt:lpstr>نقطة التعادل</vt:lpstr>
      <vt:lpstr>تحليل الحساسية</vt:lpstr>
      <vt:lpstr>BasicShare</vt:lpstr>
      <vt:lpstr>CostInc</vt:lpstr>
      <vt:lpstr>CreditorDays</vt:lpstr>
      <vt:lpstr>Currency</vt:lpstr>
      <vt:lpstr>DebtorDays</vt:lpstr>
      <vt:lpstr>DiscountRate</vt:lpstr>
      <vt:lpstr>Equity</vt:lpstr>
      <vt:lpstr>ExitValue</vt:lpstr>
      <vt:lpstr>FeesPct</vt:lpstr>
      <vt:lpstr>FirstYear</vt:lpstr>
      <vt:lpstr>GratuityDays</vt:lpstr>
      <vt:lpstr>Loan</vt:lpstr>
      <vt:lpstr>LoanRate</vt:lpstr>
      <vt:lpstr>LoanTerm</vt:lpstr>
      <vt:lpstr>Location</vt:lpstr>
      <vt:lpstr>LossCap</vt:lpstr>
      <vt:lpstr>MedicalPP</vt:lpstr>
      <vt:lpstr>MinCash</vt:lpstr>
      <vt:lpstr>PayRise</vt:lpstr>
      <vt:lpstr>PriceInc</vt:lpstr>
      <vt:lpstr>'ابدأ هنا'!Print_Area</vt:lpstr>
      <vt:lpstr>'التدفق النقدي'!Print_Area</vt:lpstr>
      <vt:lpstr>المدخلات!Print_Area</vt:lpstr>
      <vt:lpstr>الملخص!Print_Area</vt:lpstr>
      <vt:lpstr>'تحليل الحساسية'!Print_Area</vt:lpstr>
      <vt:lpstr>'قائمة الدخل'!Print_Area</vt:lpstr>
      <vt:lpstr>'نقطة التعادل'!Print_Area</vt:lpstr>
      <vt:lpstr>'التدفق النقدي'!Print_Titles</vt:lpstr>
      <vt:lpstr>'قائمة الدخل'!Print_Titles</vt:lpstr>
      <vt:lpstr>ProjectName</vt:lpstr>
      <vt:lpstr>StockDays</vt:lpstr>
      <vt:lpstr>TaxFree</vt:lpstr>
      <vt:lpstr>TaxRate</vt:lpstr>
      <vt:lpstr>VisaPerHire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دراسة الجدوى المالية: نموذج لثلاث سنوات</dc:title>
  <dc:subject>نموذج مجاني لدراسة الجدوى المالية في الإمارات</dc:subject>
  <dc:creator>Shog Corporate Training</dc:creator>
  <cp:keywords>نموذج دراسة جدوى، نموذج مالي، نقطة التعادل، فترة الاسترداد، صافي القيمة الحالية، الإمارات، درهم</cp:keywords>
  <cp:lastModifiedBy>CisoShare | MedHisab</cp:lastModifiedBy>
  <dcterms:created xsi:type="dcterms:W3CDTF">2026-09-25T14:32:04Z</dcterms:created>
  <dcterms:modified xsi:type="dcterms:W3CDTF">2026-09-25T14:38:01Z</dcterms:modified>
</cp:coreProperties>
</file>